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עדכוני\Downloads\"/>
    </mc:Choice>
  </mc:AlternateContent>
  <bookViews>
    <workbookView xWindow="0" yWindow="0" windowWidth="28800" windowHeight="11910"/>
  </bookViews>
  <sheets>
    <sheet name="גיליון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49" i="1" l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</calcChain>
</file>

<file path=xl/sharedStrings.xml><?xml version="1.0" encoding="utf-8"?>
<sst xmlns="http://schemas.openxmlformats.org/spreadsheetml/2006/main" count="3" uniqueCount="3">
  <si>
    <t>מס"ד</t>
  </si>
  <si>
    <t>מחיר
אומדן</t>
  </si>
  <si>
    <t>הצעה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</si>
</sst>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2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22" fontId="0" fillId="0" borderId="0" xfId="0" applyNumberFormat="1"/>
    <xf numFmtId="0" fontId="0" fillId="0" borderId="1" xfId="0" applyBorder="1"/>
    <xf numFmtId="14" fontId="0" fillId="0" borderId="1" xfId="0" applyNumberFormat="1" applyBorder="1"/>
    <xf numFmtId="43" fontId="0" fillId="0" borderId="1" xfId="1" applyFont="1" applyBorder="1" applyAlignment="1">
      <alignment horizontal="center" wrapText="1"/>
    </xf>
    <xf numFmtId="43" fontId="0" fillId="0" borderId="0" xfId="1" applyFont="1"/>
    <xf numFmtId="0" fontId="0" fillId="0" borderId="2" xfId="0" applyBorder="1"/>
    <xf numFmtId="43" fontId="0" fillId="0" borderId="1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18"/>
  <sheetViews>
    <sheetView rightToLeft="1" tabSelected="1" workbookViewId="0">
      <selection activeCell="D7" sqref="D7"/>
    </sheetView>
  </sheetViews>
  <sheetFormatPr defaultRowHeight="14.25" x14ac:dyDescent="0.2"/>
  <cols>
    <col min="2" max="2" width="51.875" bestFit="1" customWidth="1"/>
    <col min="3" max="3" width="9" style="5"/>
    <col min="4" max="4" width="11.75" bestFit="1" customWidth="1"/>
  </cols>
  <sheetData>
    <row r="1" spans="1:13" x14ac:dyDescent="0.2">
      <c r="A1" s="6"/>
      <c r="B1" s="6"/>
      <c r="D1" s="6"/>
    </row>
    <row r="2" spans="1:13" x14ac:dyDescent="0.2">
      <c r="A2" s="2"/>
      <c r="B2" s="2"/>
      <c r="C2" s="7"/>
      <c r="D2" s="3"/>
      <c r="M2" s="1"/>
    </row>
    <row r="3" spans="1:13" ht="28.5" x14ac:dyDescent="0.2">
      <c r="A3" s="2" t="s">
        <v>0</v>
      </c>
      <c r="B3" s="2" t="str">
        <f>"תאור מוצר"</f>
        <v>תאור מוצר</v>
      </c>
      <c r="C3" s="4" t="s">
        <v>1</v>
      </c>
      <c r="D3" s="2" t="s">
        <v>2</v>
      </c>
    </row>
    <row r="4" spans="1:13" x14ac:dyDescent="0.2">
      <c r="A4" s="2">
        <v>1</v>
      </c>
      <c r="B4" s="2" t="str">
        <f>"נייר צילום A4 80גרם סגול 12צבעוני"</f>
        <v>נייר צילום A4 80גרם סגול 12צבעוני</v>
      </c>
      <c r="C4" s="7">
        <v>19.729000000000003</v>
      </c>
      <c r="D4" s="2"/>
    </row>
    <row r="5" spans="1:13" x14ac:dyDescent="0.2">
      <c r="A5" s="2">
        <v>2</v>
      </c>
      <c r="B5" s="2" t="str">
        <f>"נייר צילום 80 A4 גרם אפרסק 24 צבעוני"</f>
        <v>נייר צילום 80 A4 גרם אפרסק 24 צבעוני</v>
      </c>
      <c r="C5" s="7">
        <v>16.1995</v>
      </c>
      <c r="D5" s="2"/>
    </row>
    <row r="6" spans="1:13" x14ac:dyDescent="0.2">
      <c r="A6" s="2">
        <v>3</v>
      </c>
      <c r="B6" s="2" t="str">
        <f>"נייר צילום 80 A4 גרם ורוד 25 צבעוני"</f>
        <v>נייר צילום 80 A4 גרם ורוד 25 צבעוני</v>
      </c>
      <c r="C6" s="7">
        <v>16.1995</v>
      </c>
      <c r="D6" s="2"/>
    </row>
    <row r="7" spans="1:13" x14ac:dyDescent="0.2">
      <c r="A7" s="2">
        <v>4</v>
      </c>
      <c r="B7" s="2" t="str">
        <f>"נייר צילום 80 A4 גרם קרם 20 צבעוני"</f>
        <v>נייר צילום 80 A4 גרם קרם 20 צבעוני</v>
      </c>
      <c r="C7" s="7">
        <v>16.1995</v>
      </c>
      <c r="D7" s="2"/>
    </row>
    <row r="8" spans="1:13" x14ac:dyDescent="0.2">
      <c r="A8" s="2">
        <v>5</v>
      </c>
      <c r="B8" s="2" t="str">
        <f>"נייר צילום80 A4 גרם צהוב לימון34 צבעוני"</f>
        <v>נייר צילום80 A4 גרם צהוב לימון34 צבעוני</v>
      </c>
      <c r="C8" s="7">
        <v>16.1995</v>
      </c>
      <c r="D8" s="2"/>
    </row>
    <row r="9" spans="1:13" x14ac:dyDescent="0.2">
      <c r="A9" s="2">
        <v>6</v>
      </c>
      <c r="B9" s="2" t="str">
        <f>"נייר צילום80 A4 גרם תכלת30/29 צבעוני"</f>
        <v>נייר צילום80 A4 גרם תכלת30/29 צבעוני</v>
      </c>
      <c r="C9" s="7">
        <v>16.1995</v>
      </c>
      <c r="D9" s="2"/>
    </row>
    <row r="10" spans="1:13" x14ac:dyDescent="0.2">
      <c r="A10" s="2">
        <v>7</v>
      </c>
      <c r="B10" s="2" t="str">
        <f>"נייר צילום 80 A4 גרם ירוק 28 צבעוני"</f>
        <v>נייר צילום 80 A4 גרם ירוק 28 צבעוני</v>
      </c>
      <c r="C10" s="7">
        <v>16.1995</v>
      </c>
      <c r="D10" s="2"/>
    </row>
    <row r="11" spans="1:13" x14ac:dyDescent="0.2">
      <c r="A11" s="2">
        <v>8</v>
      </c>
      <c r="B11" s="2" t="str">
        <f>"נייר צילום 80 A4 גרם צהוב 23 צבעוני*"</f>
        <v>נייר צילום 80 A4 גרם צהוב 23 צבעוני*</v>
      </c>
      <c r="C11" s="7">
        <v>16.1995</v>
      </c>
      <c r="D11" s="2"/>
    </row>
    <row r="12" spans="1:13" x14ac:dyDescent="0.2">
      <c r="A12" s="2">
        <v>9</v>
      </c>
      <c r="B12" s="2" t="str">
        <f>"נייר צילום 80 A4גרם ( יבוא )"</f>
        <v>נייר צילום 80 A4גרם ( יבוא )</v>
      </c>
      <c r="C12" s="7">
        <v>10.317</v>
      </c>
      <c r="D12" s="2"/>
    </row>
    <row r="13" spans="1:13" x14ac:dyDescent="0.2">
      <c r="A13" s="2">
        <v>10</v>
      </c>
      <c r="B13" s="2" t="str">
        <f>"נייר צילום קרביץ A4 80גרם - צבע לבן (אריזה כתומה"</f>
        <v>נייר צילום קרביץ A4 80גרם - צבע לבן (אריזה כתומה</v>
      </c>
      <c r="C13" s="7">
        <v>9.8645000000000014</v>
      </c>
      <c r="D13" s="2"/>
    </row>
    <row r="14" spans="1:13" x14ac:dyDescent="0.2">
      <c r="A14" s="2">
        <v>11</v>
      </c>
      <c r="B14" s="2" t="str">
        <f>"נייר צילום לבן A4 BUSINESSצבע לבן (אריזה כחולה)"</f>
        <v>נייר צילום לבן A4 BUSINESSצבע לבן (אריזה כחולה)</v>
      </c>
      <c r="C14" s="7">
        <v>9.2309999999999999</v>
      </c>
      <c r="D14" s="2"/>
    </row>
    <row r="15" spans="1:13" x14ac:dyDescent="0.2">
      <c r="A15" s="2">
        <v>12</v>
      </c>
      <c r="B15" s="2" t="str">
        <f>"נייר צילום אקולוגי KRAVITZ ECO PAPER A4"</f>
        <v>נייר צילום אקולוגי KRAVITZ ECO PAPER A4</v>
      </c>
      <c r="C15" s="7">
        <v>9.8645000000000014</v>
      </c>
      <c r="D15" s="2"/>
    </row>
    <row r="16" spans="1:13" x14ac:dyDescent="0.2">
      <c r="A16" s="2">
        <v>13</v>
      </c>
      <c r="B16" s="2" t="str">
        <f>"בלוק צהוב A4 50דף שורה *13121"</f>
        <v>בלוק צהוב A4 50דף שורה *13121</v>
      </c>
      <c r="C16" s="7">
        <v>1.4480000000000002</v>
      </c>
      <c r="D16" s="2"/>
    </row>
    <row r="17" spans="1:4" x14ac:dyDescent="0.2">
      <c r="A17" s="2">
        <v>14</v>
      </c>
      <c r="B17" s="2" t="str">
        <f>"בלוק צהוב A4 50דף חשבון 13244עם לוגו קרביץ"</f>
        <v>בלוק צהוב A4 50דף חשבון 13244עם לוגו קרביץ</v>
      </c>
      <c r="C17" s="7">
        <v>1.4480000000000002</v>
      </c>
      <c r="D17" s="2"/>
    </row>
    <row r="18" spans="1:4" x14ac:dyDescent="0.2">
      <c r="A18" s="2">
        <v>15</v>
      </c>
      <c r="B18" s="2" t="str">
        <f>"בלוק צהוב A5 50דף שורה *13404"</f>
        <v>בלוק צהוב A5 50דף שורה *13404</v>
      </c>
      <c r="C18" s="7">
        <v>1.3574999999999999</v>
      </c>
      <c r="D18" s="2"/>
    </row>
    <row r="19" spans="1:4" x14ac:dyDescent="0.2">
      <c r="A19" s="2">
        <v>16</v>
      </c>
      <c r="B19" s="2" t="str">
        <f>"בלוק צהוב A5 50דף חשבון 13411"</f>
        <v>בלוק צהוב A5 50דף חשבון 13411</v>
      </c>
      <c r="C19" s="7">
        <v>1.3574999999999999</v>
      </c>
      <c r="D19" s="2"/>
    </row>
    <row r="20" spans="1:4" x14ac:dyDescent="0.2">
      <c r="A20" s="2">
        <v>17</v>
      </c>
      <c r="B20" s="2" t="str">
        <f>"בלוק לבן A4 50דף שורה *13312"</f>
        <v>בלוק לבן A4 50דף שורה *13312</v>
      </c>
      <c r="C20" s="7">
        <v>1.4480000000000002</v>
      </c>
      <c r="D20" s="2"/>
    </row>
    <row r="21" spans="1:4" x14ac:dyDescent="0.2">
      <c r="A21" s="2">
        <v>18</v>
      </c>
      <c r="B21" s="2" t="str">
        <f>"בלוק קוהינור 1/2 שורה לבן 60 דף 19*13.7 - 34171"</f>
        <v>בלוק קוהינור 1/2 שורה לבן 60 דף 19*13.7 - 34171</v>
      </c>
      <c r="C21" s="7">
        <v>1.629</v>
      </c>
      <c r="D21" s="2"/>
    </row>
    <row r="22" spans="1:4" x14ac:dyDescent="0.2">
      <c r="A22" s="2">
        <v>19</v>
      </c>
      <c r="B22" s="2" t="str">
        <f>"בלוק קוהינור3/4 שורה לבן 60 דף 16.6*23 - 34195"</f>
        <v>בלוק קוהינור3/4 שורה לבן 60 דף 16.6*23 - 34195</v>
      </c>
      <c r="C22" s="7">
        <v>1.3122499999999999</v>
      </c>
      <c r="D22" s="2"/>
    </row>
    <row r="23" spans="1:4" x14ac:dyDescent="0.2">
      <c r="A23" s="2">
        <v>20</v>
      </c>
      <c r="B23" s="2" t="str">
        <f>"בלוק קוהינור מס'2  שורה לבן 50 דף 7.5*12- 34133"</f>
        <v>בלוק קוהינור מס'2  שורה לבן 50 דף 7.5*12- 34133</v>
      </c>
      <c r="C23" s="7">
        <v>0.44345000000000001</v>
      </c>
      <c r="D23" s="2"/>
    </row>
    <row r="24" spans="1:4" x14ac:dyDescent="0.2">
      <c r="A24" s="2">
        <v>21</v>
      </c>
      <c r="B24" s="2" t="str">
        <f>"דפדפת A4שורה 40דף פליק"</f>
        <v>דפדפת A4שורה 40דף פליק</v>
      </c>
      <c r="C24" s="7">
        <v>1.3574999999999999</v>
      </c>
      <c r="D24" s="2"/>
    </row>
    <row r="25" spans="1:4" x14ac:dyDescent="0.2">
      <c r="A25" s="2">
        <v>22</v>
      </c>
      <c r="B25" s="2" t="str">
        <f>"דפדפת A4משובץ - 40דף פליק"</f>
        <v>דפדפת A4משובץ - 40דף פליק</v>
      </c>
      <c r="C25" s="7">
        <v>1.3574999999999999</v>
      </c>
      <c r="D25" s="2"/>
    </row>
    <row r="26" spans="1:4" x14ac:dyDescent="0.2">
      <c r="A26" s="2">
        <v>23</v>
      </c>
      <c r="B26" s="2" t="str">
        <f>"מחברת ספירל שורה כריכה קשה ""קלסיק 80 ""גר' A5"</f>
        <v>מחברת ספירל שורה כריכה קשה "קלסיק 80 "גר' A5</v>
      </c>
      <c r="C26" s="7">
        <v>7.9187500000000002</v>
      </c>
      <c r="D26" s="2"/>
    </row>
    <row r="27" spans="1:4" x14ac:dyDescent="0.2">
      <c r="A27" s="2">
        <v>24</v>
      </c>
      <c r="B27" s="2" t="str">
        <f>"מחברת ספירלה כריכה קשה ""קלסיק""80  גר'A4"</f>
        <v>מחברת ספירלה כריכה קשה "קלסיק"80  גר'A4</v>
      </c>
      <c r="C27" s="7">
        <v>12.217500000000001</v>
      </c>
      <c r="D27" s="2"/>
    </row>
    <row r="28" spans="1:4" x14ac:dyDescent="0.2">
      <c r="A28" s="2">
        <v>25</v>
      </c>
      <c r="B28" s="2" t="str">
        <f>"בלוק ספירלה כריכה קשה שורה  80 גר' A5 קלסיק"</f>
        <v>בלוק ספירלה כריכה קשה שורה  80 גר' A5 קלסיק</v>
      </c>
      <c r="C28" s="7">
        <v>7.9187500000000002</v>
      </c>
      <c r="D28" s="2"/>
    </row>
    <row r="29" spans="1:4" x14ac:dyDescent="0.2">
      <c r="A29" s="2">
        <v>26</v>
      </c>
      <c r="B29" s="2" t="str">
        <f>"בלוק ספירל כריכה קשה ""קלסיק 80 ""גר' A4"</f>
        <v>בלוק ספירל כריכה קשה "קלסיק 80 "גר' A4</v>
      </c>
      <c r="C29" s="7">
        <v>12.850999999999999</v>
      </c>
      <c r="D29" s="2"/>
    </row>
    <row r="30" spans="1:4" x14ac:dyDescent="0.2">
      <c r="A30" s="2">
        <v>27</v>
      </c>
      <c r="B30" s="2" t="str">
        <f>"פנקס מכורך21/144 שורה לבן -פוליו"</f>
        <v>פנקס מכורך21/144 שורה לבן -פוליו</v>
      </c>
      <c r="C30" s="7">
        <v>6.2445000000000004</v>
      </c>
      <c r="D30" s="2"/>
    </row>
    <row r="31" spans="1:4" x14ac:dyDescent="0.2">
      <c r="A31" s="2">
        <v>28</v>
      </c>
      <c r="B31" s="2" t="str">
        <f>"מעטפות סיליקון תקן מאורך11*23 80 ג', 100 יח' לבן"</f>
        <v>מעטפות סיליקון תקן מאורך11*23 80 ג', 100 יח' לבן</v>
      </c>
      <c r="C31" s="7">
        <v>7.1495000000000006</v>
      </c>
      <c r="D31" s="2"/>
    </row>
    <row r="32" spans="1:4" x14ac:dyDescent="0.2">
      <c r="A32" s="2">
        <v>29</v>
      </c>
      <c r="B32" s="2" t="str">
        <f>"מעטפות מאורכות ד''א11*23 ס''מ (100 יח')"</f>
        <v>מעטפות מאורכות ד''א11*23 ס''מ (100 יח')</v>
      </c>
      <c r="C32" s="7">
        <v>8.9595000000000002</v>
      </c>
      <c r="D32" s="2"/>
    </row>
    <row r="33" spans="1:4" x14ac:dyDescent="0.2">
      <c r="A33" s="2">
        <v>30</v>
      </c>
      <c r="B33" s="2" t="str">
        <f>"מעטפות חומות פס הדבקה20*30 ס''מ (100 יח')"</f>
        <v>מעטפות חומות פס הדבקה20*30 ס''מ (100 יח')</v>
      </c>
      <c r="C33" s="7">
        <v>23.439499999999999</v>
      </c>
      <c r="D33" s="2"/>
    </row>
    <row r="34" spans="1:4" x14ac:dyDescent="0.2">
      <c r="A34" s="2">
        <v>31</v>
      </c>
      <c r="B34" s="2" t="str">
        <f>"מעטפות לבנות פס הדבקה 18*25ס''מ ( 100יח') 300-92"</f>
        <v>מעטפות לבנות פס הדבקה 18*25ס''מ ( 100יח') 300-92</v>
      </c>
      <c r="C34" s="7">
        <v>21.539000000000001</v>
      </c>
      <c r="D34" s="2"/>
    </row>
    <row r="35" spans="1:4" x14ac:dyDescent="0.2">
      <c r="A35" s="2">
        <v>32</v>
      </c>
      <c r="B35" s="2" t="str">
        <f>"מעטפות לבנות פס הדבקה 24*30 ס""מ (100  יח')"</f>
        <v>מעטפות לבנות פס הדבקה 24*30 ס"מ (100  יח')</v>
      </c>
      <c r="C35" s="7">
        <v>38.01</v>
      </c>
      <c r="D35" s="2"/>
    </row>
    <row r="36" spans="1:4" x14ac:dyDescent="0.2">
      <c r="A36" s="2">
        <v>33</v>
      </c>
      <c r="B36" s="2" t="str">
        <f>"מעטפות לבנות פס הדבקה24*34 ס''מ (100 יח')300-55"</f>
        <v>מעטפות לבנות פס הדבקה24*34 ס''מ (100 יח')300-55</v>
      </c>
      <c r="C36" s="7">
        <v>29.865000000000002</v>
      </c>
      <c r="D36" s="2"/>
    </row>
    <row r="37" spans="1:4" x14ac:dyDescent="0.2">
      <c r="A37" s="2">
        <v>34</v>
      </c>
      <c r="B37" s="2" t="str">
        <f>"מעטפות חומות 35*55 ס""מ (250  יח')"</f>
        <v>מעטפות חומות 35*55 ס"מ (250  יח')</v>
      </c>
      <c r="C37" s="7">
        <v>177.38</v>
      </c>
      <c r="D37" s="2"/>
    </row>
    <row r="38" spans="1:4" x14ac:dyDescent="0.2">
      <c r="A38" s="2">
        <v>35</v>
      </c>
      <c r="B38" s="2" t="str">
        <f>"מעטפות מרופדותD הדבק18*26"</f>
        <v>מעטפות מרופדותD הדבק18*26</v>
      </c>
      <c r="C38" s="7">
        <v>1.76475</v>
      </c>
      <c r="D38" s="2"/>
    </row>
    <row r="39" spans="1:4" x14ac:dyDescent="0.2">
      <c r="A39" s="2">
        <v>36</v>
      </c>
      <c r="B39" s="2" t="str">
        <f>"מעטפות לבנות סיליקון20*30 ס''מ (25 יח')"</f>
        <v>מעטפות לבנות סיליקון20*30 ס''מ (25 יח')</v>
      </c>
      <c r="C39" s="7">
        <v>23.439499999999999</v>
      </c>
      <c r="D39" s="2"/>
    </row>
    <row r="40" spans="1:4" x14ac:dyDescent="0.2">
      <c r="A40" s="2">
        <v>37</v>
      </c>
      <c r="B40" s="2" t="str">
        <f>"מזכריות )12 3M 653יח') מידה 3.8/5*"</f>
        <v>מזכריות )12 3M 653יח') מידה 3.8/5*</v>
      </c>
      <c r="C40" s="7">
        <v>15.8375</v>
      </c>
      <c r="D40" s="2"/>
    </row>
    <row r="41" spans="1:4" x14ac:dyDescent="0.2">
      <c r="A41" s="2">
        <v>38</v>
      </c>
      <c r="B41" s="2" t="str">
        <f>"מזכריות )3M 654 מידה 75/75)"</f>
        <v>מזכריות )3M 654 מידה 75/75)</v>
      </c>
      <c r="C41" s="7">
        <v>3.8462499999999999</v>
      </c>
      <c r="D41" s="2"/>
    </row>
    <row r="42" spans="1:4" x14ac:dyDescent="0.2">
      <c r="A42" s="2">
        <v>39</v>
      </c>
      <c r="B42" s="2" t="str">
        <f>"מזכריות 3M 655מידה 12.5/7.6*"</f>
        <v>מזכריות 3M 655מידה 12.5/7.6*</v>
      </c>
      <c r="C42" s="7">
        <v>5.3395000000000001</v>
      </c>
      <c r="D42" s="2"/>
    </row>
    <row r="43" spans="1:4" x14ac:dyDescent="0.2">
      <c r="A43" s="2">
        <v>40</v>
      </c>
      <c r="B43" s="2" t="str">
        <f>"מזכריות היילנד 12 ) 6539 3M  יחידות) מידה 5/3.8"</f>
        <v>מזכריות היילנד 12 ) 6539 3M  יחידות) מידה 5/3.8</v>
      </c>
      <c r="C43" s="7">
        <v>8.5975000000000001</v>
      </c>
      <c r="D43" s="2"/>
    </row>
    <row r="44" spans="1:4" x14ac:dyDescent="0.2">
      <c r="A44" s="2">
        <v>41</v>
      </c>
      <c r="B44" s="2" t="str">
        <f>"מזכריות היילנד6559 3M מידה7.6/12.5*"</f>
        <v>מזכריות היילנד6559 3M מידה7.6/12.5*</v>
      </c>
      <c r="C44" s="7">
        <v>2.8055000000000003</v>
      </c>
      <c r="D44" s="2"/>
    </row>
    <row r="45" spans="1:4" x14ac:dyDescent="0.2">
      <c r="A45" s="2">
        <v>42</v>
      </c>
      <c r="B45" s="2" t="str">
        <f>"מדבקה לבנה 32 דף -100*52/53 ממ * 3 מדבקות בדף"</f>
        <v>מדבקה לבנה 32 דף -100*52/53 ממ * 3 מדבקות בדף</v>
      </c>
      <c r="C45" s="7">
        <v>2.2625000000000002</v>
      </c>
      <c r="D45" s="2"/>
    </row>
    <row r="46" spans="1:4" x14ac:dyDescent="0.2">
      <c r="A46" s="2">
        <v>43</v>
      </c>
      <c r="B46" s="2" t="str">
        <f>"מדבקה לבנה32 דף- 50*80 מ''מ (3 מדבקות בדף )"</f>
        <v>מדבקה לבנה32 דף- 50*80 מ''מ (3 מדבקות בדף )</v>
      </c>
      <c r="C46" s="7">
        <v>2.2625000000000002</v>
      </c>
      <c r="D46" s="2"/>
    </row>
    <row r="47" spans="1:4" x14ac:dyDescent="0.2">
      <c r="A47" s="2">
        <v>44</v>
      </c>
      <c r="B47" s="2" t="str">
        <f>"מדבקה לבנה32 דף- 36*100 מ''מ (4 מדבקות בדף )"</f>
        <v>מדבקה לבנה32 דף- 36*100 מ''מ (4 מדבקות בדף )</v>
      </c>
      <c r="C47" s="7">
        <v>2.2625000000000002</v>
      </c>
      <c r="D47" s="2"/>
    </row>
    <row r="48" spans="1:4" x14ac:dyDescent="0.2">
      <c r="A48" s="2">
        <v>45</v>
      </c>
      <c r="B48" s="2" t="str">
        <f>"מדבקה לבנה32 דף- 34*67 מ''מ (6 מדבקות בדף )"</f>
        <v>מדבקה לבנה32 דף- 34*67 מ''מ (6 מדבקות בדף )</v>
      </c>
      <c r="C48" s="7">
        <v>2.2625000000000002</v>
      </c>
      <c r="D48" s="2"/>
    </row>
    <row r="49" spans="1:4" x14ac:dyDescent="0.2">
      <c r="A49" s="2">
        <v>46</v>
      </c>
      <c r="B49" s="2" t="str">
        <f>"מדבקה לבנה32 דף- 34*53 מ''מ (9 מדבקות בדף )"</f>
        <v>מדבקה לבנה32 דף- 34*53 מ''מ (9 מדבקות בדף )</v>
      </c>
      <c r="C49" s="7">
        <v>2.2625000000000002</v>
      </c>
      <c r="D49" s="2"/>
    </row>
    <row r="50" spans="1:4" x14ac:dyDescent="0.2">
      <c r="A50" s="2">
        <v>47</v>
      </c>
      <c r="B50" s="2" t="str">
        <f>"מדבקה לבנה32 דף- 33*77 מ''מ (6 מדבקות בדף )"</f>
        <v>מדבקה לבנה32 דף- 33*77 מ''מ (6 מדבקות בדף )</v>
      </c>
      <c r="C50" s="7">
        <v>2.2625000000000002</v>
      </c>
      <c r="D50" s="2"/>
    </row>
    <row r="51" spans="1:4" x14ac:dyDescent="0.2">
      <c r="A51" s="2">
        <v>48</v>
      </c>
      <c r="B51" s="2" t="str">
        <f>"מדבקה לבנה 32 דף -50*24 ממ 12 מדבקות בדף"</f>
        <v>מדבקה לבנה 32 דף -50*24 ממ 12 מדבקות בדף</v>
      </c>
      <c r="C51" s="7">
        <v>2.2625000000000002</v>
      </c>
      <c r="D51" s="2"/>
    </row>
    <row r="52" spans="1:4" x14ac:dyDescent="0.2">
      <c r="A52" s="2">
        <v>49</v>
      </c>
      <c r="B52" s="2" t="str">
        <f>"מדבקה לבנה 32 דף-25*40  מ""מ (16  מדבקות בדף )"</f>
        <v>מדבקה לבנה 32 דף-25*40  מ"מ (16  מדבקות בדף )</v>
      </c>
      <c r="C52" s="7">
        <v>2.2625000000000002</v>
      </c>
      <c r="D52" s="2"/>
    </row>
    <row r="53" spans="1:4" x14ac:dyDescent="0.2">
      <c r="A53" s="2">
        <v>50</v>
      </c>
      <c r="B53" s="2" t="str">
        <f>"מדבקה לבנה32 דף- 24*24 מ''מ (24 מדבקות בדף )"</f>
        <v>מדבקה לבנה32 דף- 24*24 מ''מ (24 מדבקות בדף )</v>
      </c>
      <c r="C53" s="7">
        <v>2.2625000000000002</v>
      </c>
      <c r="D53" s="2"/>
    </row>
    <row r="54" spans="1:4" x14ac:dyDescent="0.2">
      <c r="A54" s="2">
        <v>51</v>
      </c>
      <c r="B54" s="2" t="str">
        <f>"מדבקה לבנה 32 דף -32*22 ממ 21 מדבקות בדף"</f>
        <v>מדבקה לבנה 32 דף -32*22 ממ 21 מדבקות בדף</v>
      </c>
      <c r="C54" s="7">
        <v>2.2625000000000002</v>
      </c>
      <c r="D54" s="2"/>
    </row>
    <row r="55" spans="1:4" x14ac:dyDescent="0.2">
      <c r="A55" s="2">
        <v>52</v>
      </c>
      <c r="B55" s="2" t="str">
        <f>"מדבקה לבנה32 דף- 20*75 מ''מ (10 מדבקות בדף )"</f>
        <v>מדבקה לבנה32 דף- 20*75 מ''מ (10 מדבקות בדף )</v>
      </c>
      <c r="C55" s="7">
        <v>2.2625000000000002</v>
      </c>
      <c r="D55" s="2"/>
    </row>
    <row r="56" spans="1:4" x14ac:dyDescent="0.2">
      <c r="A56" s="2">
        <v>53</v>
      </c>
      <c r="B56" s="2" t="str">
        <f>"מדבקה לבנה32 דף- 20*50 מ''מ (14 מדבקות בדף )"</f>
        <v>מדבקה לבנה32 דף- 20*50 מ''מ (14 מדבקות בדף )</v>
      </c>
      <c r="C56" s="7">
        <v>2.2625000000000002</v>
      </c>
      <c r="D56" s="2"/>
    </row>
    <row r="57" spans="1:4" x14ac:dyDescent="0.2">
      <c r="A57" s="2">
        <v>54</v>
      </c>
      <c r="B57" s="2" t="str">
        <f>"מדבקה לבנה32 דף- 19*40 מ''מ (20 מדבקות בדף )"</f>
        <v>מדבקה לבנה32 דף- 19*40 מ''מ (20 מדבקות בדף )</v>
      </c>
      <c r="C57" s="7">
        <v>2.2625000000000002</v>
      </c>
      <c r="D57" s="2"/>
    </row>
    <row r="58" spans="1:4" x14ac:dyDescent="0.2">
      <c r="A58" s="2">
        <v>55</v>
      </c>
      <c r="B58" s="2" t="str">
        <f>"מדבקה לבנה32 דף- 19*27 מ''מ (30 מדבקות בדף )"</f>
        <v>מדבקה לבנה32 דף- 19*27 מ''מ (30 מדבקות בדף )</v>
      </c>
      <c r="C58" s="7">
        <v>2.2625000000000002</v>
      </c>
      <c r="D58" s="2"/>
    </row>
    <row r="59" spans="1:4" x14ac:dyDescent="0.2">
      <c r="A59" s="2">
        <v>56</v>
      </c>
      <c r="B59" s="2" t="str">
        <f>"מדבקה לבנה 23 דף -22*16 ממ 42 מדבקות בדף"</f>
        <v>מדבקה לבנה 23 דף -22*16 ממ 42 מדבקות בדף</v>
      </c>
      <c r="C59" s="7">
        <v>2.2625000000000002</v>
      </c>
      <c r="D59" s="2"/>
    </row>
    <row r="60" spans="1:4" x14ac:dyDescent="0.2">
      <c r="A60" s="2">
        <v>57</v>
      </c>
      <c r="B60" s="2" t="str">
        <f>"מדבקה לבנה32 דף- 13*50 מ''מ (21 מדבקות בדף )"</f>
        <v>מדבקה לבנה32 דף- 13*50 מ''מ (21 מדבקות בדף )</v>
      </c>
      <c r="C60" s="7">
        <v>2.2625000000000002</v>
      </c>
      <c r="D60" s="2"/>
    </row>
    <row r="61" spans="1:4" x14ac:dyDescent="0.2">
      <c r="A61" s="2">
        <v>58</v>
      </c>
      <c r="B61" s="2" t="str">
        <f>"מדבקה לבנה32 דף- 12*30/10*32 מ''מ (35 מדבקות בדף"</f>
        <v>מדבקה לבנה32 דף- 12*30/10*32 מ''מ (35 מדבקות בדף</v>
      </c>
      <c r="C61" s="7">
        <v>2.2625000000000002</v>
      </c>
      <c r="D61" s="2"/>
    </row>
    <row r="62" spans="1:4" x14ac:dyDescent="0.2">
      <c r="A62" s="2">
        <v>59</v>
      </c>
      <c r="B62" s="2" t="str">
        <f>"מדבקה לבנה32 דף- 12*18 מ''מ (60 מדבקות בדף )"</f>
        <v>מדבקה לבנה32 דף- 12*18 מ''מ (60 מדבקות בדף )</v>
      </c>
      <c r="C62" s="7">
        <v>2.2625000000000002</v>
      </c>
      <c r="D62" s="2"/>
    </row>
    <row r="63" spans="1:4" x14ac:dyDescent="0.2">
      <c r="A63" s="2">
        <v>60</v>
      </c>
      <c r="B63" s="2" t="str">
        <f>"מדבקה לבנה 32 דף-10*16  מ""מ (81  מדבקות בדף )"</f>
        <v>מדבקה לבנה 32 דף-10*16  מ"מ (81  מדבקות בדף )</v>
      </c>
      <c r="C63" s="7">
        <v>2.2625000000000002</v>
      </c>
      <c r="D63" s="2"/>
    </row>
    <row r="64" spans="1:4" x14ac:dyDescent="0.2">
      <c r="A64" s="2">
        <v>61</v>
      </c>
      <c r="B64" s="2" t="str">
        <f>"מדבקה לבנה 32 דף -20*8 ממ 80 מדבקות בדף"</f>
        <v>מדבקה לבנה 32 דף -20*8 ממ 80 מדבקות בדף</v>
      </c>
      <c r="C64" s="7">
        <v>2.2625000000000002</v>
      </c>
      <c r="D64" s="2"/>
    </row>
    <row r="65" spans="1:4" x14ac:dyDescent="0.2">
      <c r="A65" s="2">
        <v>62</v>
      </c>
      <c r="B65" s="2" t="str">
        <f>"מדבקה לבנה32 דף- 8*12 מ''מ (121 מדבקות בדף )"</f>
        <v>מדבקה לבנה32 דף- 8*12 מ''מ (121 מדבקות בדף )</v>
      </c>
      <c r="C65" s="7">
        <v>2.2625000000000002</v>
      </c>
      <c r="D65" s="2"/>
    </row>
    <row r="66" spans="1:4" x14ac:dyDescent="0.2">
      <c r="A66" s="2">
        <v>63</v>
      </c>
      <c r="B66" s="2" t="str">
        <f>"מדבקה לבנה 32 דף -35*5 ממ 64 מדבקות בדף"</f>
        <v>מדבקה לבנה 32 דף -35*5 ממ 64 מדבקות בדף</v>
      </c>
      <c r="C66" s="7">
        <v>2.2625000000000002</v>
      </c>
      <c r="D66" s="2"/>
    </row>
    <row r="67" spans="1:4" x14ac:dyDescent="0.2">
      <c r="A67" s="2">
        <v>64</v>
      </c>
      <c r="B67" s="2" t="str">
        <f>"נייר פוטו מבריק 150 CG965A GLOSSY גר'A4  למדפסת"</f>
        <v>נייר פוטו מבריק 150 CG965A GLOSSY גר'A4  למדפסת</v>
      </c>
      <c r="C67" s="7">
        <v>76.924999999999997</v>
      </c>
      <c r="D67" s="2"/>
    </row>
    <row r="68" spans="1:4" x14ac:dyDescent="0.2">
      <c r="A68" s="2">
        <v>65</v>
      </c>
      <c r="B68" s="2" t="str">
        <f>"מדבקה צבעונית עגולה 10 ממ צהוב 126 מדבקות בדף"</f>
        <v>מדבקה צבעונית עגולה 10 ממ צהוב 126 מדבקות בדף</v>
      </c>
      <c r="C68" s="7">
        <v>4.5250000000000004</v>
      </c>
      <c r="D68" s="2"/>
    </row>
    <row r="69" spans="1:4" x14ac:dyDescent="0.2">
      <c r="A69" s="2">
        <v>66</v>
      </c>
      <c r="B69" s="2" t="str">
        <f>"מדבקה צבעונית עגולה 10 ממ כתום 126 מדבקות בדף"</f>
        <v>מדבקה צבעונית עגולה 10 ממ כתום 126 מדבקות בדף</v>
      </c>
      <c r="C69" s="7">
        <v>4.5250000000000004</v>
      </c>
      <c r="D69" s="2"/>
    </row>
    <row r="70" spans="1:4" x14ac:dyDescent="0.2">
      <c r="A70" s="2">
        <v>67</v>
      </c>
      <c r="B70" s="2" t="str">
        <f>"מדבקה צבעונית עגולה 10 ממ ירוק 126 מדבקות בדף"</f>
        <v>מדבקה צבעונית עגולה 10 ממ ירוק 126 מדבקות בדף</v>
      </c>
      <c r="C70" s="7">
        <v>4.5250000000000004</v>
      </c>
      <c r="D70" s="2"/>
    </row>
    <row r="71" spans="1:4" x14ac:dyDescent="0.2">
      <c r="A71" s="2">
        <v>68</v>
      </c>
      <c r="B71" s="2" t="str">
        <f>"מדבקה צבעונית עגולה 10 ממ אדום  126 מדבקות בדף"</f>
        <v>מדבקה צבעונית עגולה 10 ממ אדום  126 מדבקות בדף</v>
      </c>
      <c r="C71" s="7">
        <v>4.5250000000000004</v>
      </c>
      <c r="D71" s="2"/>
    </row>
    <row r="72" spans="1:4" x14ac:dyDescent="0.2">
      <c r="A72" s="2">
        <v>69</v>
      </c>
      <c r="B72" s="2" t="str">
        <f>"מדבקה צבעונית עגולה 10 ממ כחול 126 מדבקות בדף"</f>
        <v>מדבקה צבעונית עגולה 10 ממ כחול 126 מדבקות בדף</v>
      </c>
      <c r="C72" s="7">
        <v>4.5250000000000004</v>
      </c>
      <c r="D72" s="2"/>
    </row>
    <row r="73" spans="1:4" x14ac:dyDescent="0.2">
      <c r="A73" s="2">
        <v>70</v>
      </c>
      <c r="B73" s="2" t="str">
        <f>"מדבקה צבעונית עגולה 13 ממ צהוב 77 מדבקות בדף"</f>
        <v>מדבקה צבעונית עגולה 13 ממ צהוב 77 מדבקות בדף</v>
      </c>
      <c r="C73" s="7">
        <v>4.5250000000000004</v>
      </c>
      <c r="D73" s="2"/>
    </row>
    <row r="74" spans="1:4" x14ac:dyDescent="0.2">
      <c r="A74" s="2">
        <v>71</v>
      </c>
      <c r="B74" s="2" t="str">
        <f>"מדבקה צבעונית עגולה 13 ממ כחול 77 מדבקות בדף"</f>
        <v>מדבקה צבעונית עגולה 13 ממ כחול 77 מדבקות בדף</v>
      </c>
      <c r="C74" s="7">
        <v>4.5250000000000004</v>
      </c>
      <c r="D74" s="2"/>
    </row>
    <row r="75" spans="1:4" x14ac:dyDescent="0.2">
      <c r="A75" s="2">
        <v>72</v>
      </c>
      <c r="B75" s="2" t="str">
        <f>"מדבקה צבעונית עגולה 13 ממ אדום 77 מדבקות בדף"</f>
        <v>מדבקה צבעונית עגולה 13 ממ אדום 77 מדבקות בדף</v>
      </c>
      <c r="C75" s="7">
        <v>4.5250000000000004</v>
      </c>
      <c r="D75" s="2"/>
    </row>
    <row r="76" spans="1:4" x14ac:dyDescent="0.2">
      <c r="A76" s="2">
        <v>73</v>
      </c>
      <c r="B76" s="2" t="str">
        <f>"מדבקה צבעונית עגולה 13 ממ ירוק 77 מדבקות בדף"</f>
        <v>מדבקה צבעונית עגולה 13 ממ ירוק 77 מדבקות בדף</v>
      </c>
      <c r="C76" s="7">
        <v>4.5250000000000004</v>
      </c>
      <c r="D76" s="2"/>
    </row>
    <row r="77" spans="1:4" x14ac:dyDescent="0.2">
      <c r="A77" s="2">
        <v>74</v>
      </c>
      <c r="B77" s="2" t="str">
        <f>"מדבקה צבעונית עגולה 16 ממ אדום 54 מדבקות בדף"</f>
        <v>מדבקה צבעונית עגולה 16 ממ אדום 54 מדבקות בדף</v>
      </c>
      <c r="C77" s="7">
        <v>4.5250000000000004</v>
      </c>
      <c r="D77" s="2"/>
    </row>
    <row r="78" spans="1:4" x14ac:dyDescent="0.2">
      <c r="A78" s="2">
        <v>75</v>
      </c>
      <c r="B78" s="2" t="str">
        <f>"מדבקה צבעונית עגולה 16 ממ צהוב  54 מדבקות בדף"</f>
        <v>מדבקה צבעונית עגולה 16 ממ צהוב  54 מדבקות בדף</v>
      </c>
      <c r="C78" s="7">
        <v>4.5250000000000004</v>
      </c>
      <c r="D78" s="2"/>
    </row>
    <row r="79" spans="1:4" x14ac:dyDescent="0.2">
      <c r="A79" s="2">
        <v>76</v>
      </c>
      <c r="B79" s="2" t="str">
        <f>"מדבקה צבעונית עגולה 16 ממ כחול  54 מדבקות בדף"</f>
        <v>מדבקה צבעונית עגולה 16 ממ כחול  54 מדבקות בדף</v>
      </c>
      <c r="C79" s="7">
        <v>4.5250000000000004</v>
      </c>
      <c r="D79" s="2"/>
    </row>
    <row r="80" spans="1:4" x14ac:dyDescent="0.2">
      <c r="A80" s="2">
        <v>77</v>
      </c>
      <c r="B80" s="2" t="str">
        <f>"מדבקה צבעונית עגולה 16  ממ ירוק 54 מדבקות בדף"</f>
        <v>מדבקה צבעונית עגולה 16  ממ ירוק 54 מדבקות בדף</v>
      </c>
      <c r="C80" s="7">
        <v>4.5250000000000004</v>
      </c>
      <c r="D80" s="2"/>
    </row>
    <row r="81" spans="1:4" x14ac:dyDescent="0.2">
      <c r="A81" s="2">
        <v>78</v>
      </c>
      <c r="B81" s="2" t="str">
        <f>"מדבקה צבעונית עגולה 19 ממ כחול 40 מדבקות בדף"</f>
        <v>מדבקה צבעונית עגולה 19 ממ כחול 40 מדבקות בדף</v>
      </c>
      <c r="C81" s="7">
        <v>4.5250000000000004</v>
      </c>
      <c r="D81" s="2"/>
    </row>
    <row r="82" spans="1:4" x14ac:dyDescent="0.2">
      <c r="A82" s="2">
        <v>79</v>
      </c>
      <c r="B82" s="2" t="str">
        <f>"מדבקה צבעונית עגולה19 מ''מ צהוב (40 מדבקות בדף )"</f>
        <v>מדבקה צבעונית עגולה19 מ''מ צהוב (40 מדבקות בדף )</v>
      </c>
      <c r="C82" s="7">
        <v>4.5250000000000004</v>
      </c>
      <c r="D82" s="2"/>
    </row>
    <row r="83" spans="1:4" x14ac:dyDescent="0.2">
      <c r="A83" s="2">
        <v>80</v>
      </c>
      <c r="B83" s="2" t="str">
        <f>"מדבקה צבעונית עגולה19 מ''מ ירוק (40 מדבקות בדף )"</f>
        <v>מדבקה צבעונית עגולה19 מ''מ ירוק (40 מדבקות בדף )</v>
      </c>
      <c r="C83" s="7">
        <v>4.5250000000000004</v>
      </c>
      <c r="D83" s="2"/>
    </row>
    <row r="84" spans="1:4" x14ac:dyDescent="0.2">
      <c r="A84" s="2">
        <v>81</v>
      </c>
      <c r="B84" s="2" t="str">
        <f>"מדבקה צבעונית עגולה19 מ''מ אדום (40 מדבקות בדף )"</f>
        <v>מדבקה צבעונית עגולה19 מ''מ אדום (40 מדבקות בדף )</v>
      </c>
      <c r="C84" s="7">
        <v>4.5250000000000004</v>
      </c>
      <c r="D84" s="2"/>
    </row>
    <row r="85" spans="1:4" x14ac:dyDescent="0.2">
      <c r="A85" s="2">
        <v>82</v>
      </c>
      <c r="B85" s="2" t="str">
        <f>"מדבקה צבעונית עגולה25 מ''מ ירוק (24 מדבקות בדף )"</f>
        <v>מדבקה צבעונית עגולה25 מ''מ ירוק (24 מדבקות בדף )</v>
      </c>
      <c r="C85" s="7">
        <v>4.5250000000000004</v>
      </c>
      <c r="D85" s="2"/>
    </row>
    <row r="86" spans="1:4" x14ac:dyDescent="0.2">
      <c r="A86" s="2">
        <v>83</v>
      </c>
      <c r="B86" s="2" t="str">
        <f>"מדבקה צבעונית עגולה25 מ''מ כחול (24 מדבקות בדף )"</f>
        <v>מדבקה צבעונית עגולה25 מ''מ כחול (24 מדבקות בדף )</v>
      </c>
      <c r="C86" s="7">
        <v>4.5250000000000004</v>
      </c>
      <c r="D86" s="2"/>
    </row>
    <row r="87" spans="1:4" x14ac:dyDescent="0.2">
      <c r="A87" s="2">
        <v>84</v>
      </c>
      <c r="B87" s="2" t="str">
        <f>"מדבקה צבעונית עגולה25 מ''מ אדום (24 מדבקות בדף )"</f>
        <v>מדבקה צבעונית עגולה25 מ''מ אדום (24 מדבקות בדף )</v>
      </c>
      <c r="C87" s="7">
        <v>4.5250000000000004</v>
      </c>
      <c r="D87" s="2"/>
    </row>
    <row r="88" spans="1:4" x14ac:dyDescent="0.2">
      <c r="A88" s="2">
        <v>85</v>
      </c>
      <c r="B88" s="2" t="str">
        <f>"מדבקה צבעונית עגולה25 מ''מ צהוב (24 מדבקות בדף )"</f>
        <v>מדבקה צבעונית עגולה25 מ''מ צהוב (24 מדבקות בדף )</v>
      </c>
      <c r="C88" s="7">
        <v>4.5250000000000004</v>
      </c>
      <c r="D88" s="2"/>
    </row>
    <row r="89" spans="1:4" x14ac:dyDescent="0.2">
      <c r="A89" s="2">
        <v>86</v>
      </c>
      <c r="B89" s="2" t="str">
        <f>"מדבקה צבעונית עגולה32 מ''מ כחול (15 מדבקות בדף )"</f>
        <v>מדבקה צבעונית עגולה32 מ''מ כחול (15 מדבקות בדף )</v>
      </c>
      <c r="C89" s="7">
        <v>4.5250000000000004</v>
      </c>
      <c r="D89" s="2"/>
    </row>
    <row r="90" spans="1:4" x14ac:dyDescent="0.2">
      <c r="A90" s="2">
        <v>87</v>
      </c>
      <c r="B90" s="2" t="str">
        <f>"מדבקה צבעונית עגולה32 מ''מ ירוק (15 מדבקות בדף )"</f>
        <v>מדבקה צבעונית עגולה32 מ''מ ירוק (15 מדבקות בדף )</v>
      </c>
      <c r="C90" s="7">
        <v>4.5250000000000004</v>
      </c>
      <c r="D90" s="2"/>
    </row>
    <row r="91" spans="1:4" x14ac:dyDescent="0.2">
      <c r="A91" s="2">
        <v>88</v>
      </c>
      <c r="B91" s="2" t="str">
        <f>"מדבקה צבעונית עגולה 32 ממ צהוב  15 מדבקות בדף"</f>
        <v>מדבקה צבעונית עגולה 32 ממ צהוב  15 מדבקות בדף</v>
      </c>
      <c r="C91" s="7">
        <v>4.5250000000000004</v>
      </c>
      <c r="D91" s="2"/>
    </row>
    <row r="92" spans="1:4" x14ac:dyDescent="0.2">
      <c r="A92" s="2">
        <v>89</v>
      </c>
      <c r="B92" s="2" t="str">
        <f>"מדבקה צבעונית עגולה 32 ממ אדום 15 מדבקות בדף"</f>
        <v>מדבקה צבעונית עגולה 32 ממ אדום 15 מדבקות בדף</v>
      </c>
      <c r="C92" s="7">
        <v>4.5250000000000004</v>
      </c>
      <c r="D92" s="2"/>
    </row>
    <row r="93" spans="1:4" x14ac:dyDescent="0.2">
      <c r="A93" s="2">
        <v>90</v>
      </c>
      <c r="B93" s="2" t="str">
        <f>"מזכריות3M צהובות שורה6) 630-6PK יח 'בחבילה)*"</f>
        <v>מזכריות3M צהובות שורה6) 630-6PK יח 'בחבילה)*</v>
      </c>
      <c r="C93" s="7">
        <v>27.0595</v>
      </c>
      <c r="D93" s="2"/>
    </row>
    <row r="94" spans="1:4" x14ac:dyDescent="0.2">
      <c r="A94" s="2">
        <v>91</v>
      </c>
      <c r="B94" s="2" t="str">
        <f>"מעמד להגבהת מסך מחשב- MS80B 3M"</f>
        <v>מעמד להגבהת מסך מחשב- MS80B 3M</v>
      </c>
      <c r="C94" s="7">
        <v>143.89500000000001</v>
      </c>
      <c r="D94" s="2"/>
    </row>
    <row r="95" spans="1:4" x14ac:dyDescent="0.2">
      <c r="A95" s="2">
        <v>92</v>
      </c>
      <c r="B95" s="2" t="str">
        <f>"גליל עטיפה לספר 5 מטר שקוף"</f>
        <v>גליל עטיפה לספר 5 מטר שקוף</v>
      </c>
      <c r="C95" s="7">
        <v>2.8507500000000001</v>
      </c>
      <c r="D95" s="2"/>
    </row>
    <row r="96" spans="1:4" x14ac:dyDescent="0.2">
      <c r="A96" s="2">
        <v>93</v>
      </c>
      <c r="B96" s="2" t="str">
        <f>"נייר עיתון49 גר' פוליו חב' 200"</f>
        <v>נייר עיתון49 גר' פוליו חב' 200</v>
      </c>
      <c r="C96" s="7">
        <v>3.62</v>
      </c>
      <c r="D96" s="2"/>
    </row>
    <row r="97" spans="1:4" x14ac:dyDescent="0.2">
      <c r="A97" s="2">
        <v>94</v>
      </c>
      <c r="B97" s="2" t="str">
        <f>"מעטפות חומות פס הדבקה100) 13*19 יח')מק''ט300-64"</f>
        <v>מעטפות חומות פס הדבקה100) 13*19 יח')מק''ט300-64</v>
      </c>
      <c r="C97" s="7">
        <v>12.579500000000001</v>
      </c>
      <c r="D97" s="2"/>
    </row>
    <row r="98" spans="1:4" x14ac:dyDescent="0.2">
      <c r="A98" s="2">
        <v>95</v>
      </c>
      <c r="B98" s="2" t="str">
        <f>"מתקן לקובית ממו ריק"</f>
        <v>מתקן לקובית ממו ריק</v>
      </c>
      <c r="C98" s="7">
        <v>3.5747500000000003</v>
      </c>
      <c r="D98" s="2"/>
    </row>
    <row r="99" spans="1:4" x14ac:dyDescent="0.2">
      <c r="A99" s="2">
        <v>96</v>
      </c>
      <c r="B99" s="2" t="str">
        <f>"בלוק לבן 50 A5 דף שורה *"</f>
        <v>בלוק לבן 50 A5 דף שורה *</v>
      </c>
      <c r="C99" s="7">
        <v>1.3574999999999999</v>
      </c>
      <c r="D99" s="2"/>
    </row>
    <row r="100" spans="1:4" x14ac:dyDescent="0.2">
      <c r="A100" s="2">
        <v>97</v>
      </c>
      <c r="B100" s="2" t="str">
        <f>"בלוק לבן50 A5 דף חשבון13350"</f>
        <v>בלוק לבן50 A5 דף חשבון13350</v>
      </c>
      <c r="C100" s="7">
        <v>1.3574999999999999</v>
      </c>
      <c r="D100" s="2"/>
    </row>
    <row r="101" spans="1:4" x14ac:dyDescent="0.2">
      <c r="A101" s="2">
        <v>98</v>
      </c>
      <c r="B101" s="2" t="str">
        <f>"מזכריות שורה 3M 635 צהוב"</f>
        <v>מזכריות שורה 3M 635 צהוב</v>
      </c>
      <c r="C101" s="7">
        <v>5.6110000000000007</v>
      </c>
      <c r="D101" s="2"/>
    </row>
    <row r="102" spans="1:4" x14ac:dyDescent="0.2">
      <c r="A102" s="2">
        <v>99</v>
      </c>
      <c r="B102" s="2" t="str">
        <f>"מזכריות שורה 3M 660*"</f>
        <v>מזכריות שורה 3M 660*</v>
      </c>
      <c r="C102" s="7">
        <v>8.9595000000000002</v>
      </c>
      <c r="D102" s="2"/>
    </row>
    <row r="103" spans="1:4" x14ac:dyDescent="0.2">
      <c r="A103" s="2">
        <v>100</v>
      </c>
      <c r="B103" s="2" t="str">
        <f>"מדבקה לבנה32 דף- 100*150 מ''מ"</f>
        <v>מדבקה לבנה32 דף- 100*150 מ''מ</v>
      </c>
      <c r="C103" s="7">
        <v>2.5339999999999998</v>
      </c>
      <c r="D103" s="2"/>
    </row>
    <row r="104" spans="1:4" x14ac:dyDescent="0.2">
      <c r="A104" s="2">
        <v>101</v>
      </c>
      <c r="B104" s="2" t="str">
        <f>"מדבקה לבנה32 דף- 75*100 מ''מ"</f>
        <v>מדבקה לבנה32 דף- 75*100 מ''מ</v>
      </c>
      <c r="C104" s="7">
        <v>2.5339999999999998</v>
      </c>
      <c r="D104" s="2"/>
    </row>
    <row r="105" spans="1:4" x14ac:dyDescent="0.2">
      <c r="A105" s="2">
        <v>102</v>
      </c>
      <c r="B105" s="2" t="str">
        <f>"נייר צילום 80 גר'  -  A3"</f>
        <v>נייר צילום 80 גר'  -  A3</v>
      </c>
      <c r="C105" s="7">
        <v>23.439499999999999</v>
      </c>
      <c r="D105" s="2"/>
    </row>
    <row r="106" spans="1:4" x14ac:dyDescent="0.2">
      <c r="A106" s="2">
        <v>103</v>
      </c>
      <c r="B106" s="2" t="str">
        <f>"בריסטול מנילה160 גרם מעורב צבעים בהירים"</f>
        <v>בריסטול מנילה160 גרם מעורב צבעים בהירים</v>
      </c>
      <c r="C106" s="7">
        <v>1.49325</v>
      </c>
      <c r="D106" s="2"/>
    </row>
    <row r="107" spans="1:4" x14ac:dyDescent="0.2">
      <c r="A107" s="2">
        <v>104</v>
      </c>
      <c r="B107" s="2" t="str">
        <f>"דגלוני סימון 3M יח' אדום -*680-1 POST-IT רחב"</f>
        <v>דגלוני סימון 3M יח' אדום -*680-1 POST-IT רחב</v>
      </c>
      <c r="C107" s="7">
        <v>6.9232500000000003</v>
      </c>
      <c r="D107" s="2"/>
    </row>
    <row r="108" spans="1:4" x14ac:dyDescent="0.2">
      <c r="A108" s="2">
        <v>105</v>
      </c>
      <c r="B108" s="2" t="str">
        <f>"דגלוני סימון 3Mיח' כחול POST-IT 680-2"</f>
        <v>דגלוני סימון 3Mיח' כחול POST-IT 680-2</v>
      </c>
      <c r="C108" s="7">
        <v>6.9232500000000003</v>
      </c>
      <c r="D108" s="2"/>
    </row>
    <row r="109" spans="1:4" x14ac:dyDescent="0.2">
      <c r="A109" s="2">
        <v>106</v>
      </c>
      <c r="B109" s="2" t="str">
        <f>"דגלוני סימון3M יח' ירוק-680-3 POST-IT רחב"</f>
        <v>דגלוני סימון3M יח' ירוק-680-3 POST-IT רחב</v>
      </c>
      <c r="C109" s="7">
        <v>6.9232500000000003</v>
      </c>
      <c r="D109" s="2"/>
    </row>
    <row r="110" spans="1:4" x14ac:dyDescent="0.2">
      <c r="A110" s="2">
        <v>107</v>
      </c>
      <c r="B110" s="2" t="str">
        <f>"דגלוני סימון 3Mיח' כתום POST-IT 680-4"</f>
        <v>דגלוני סימון 3Mיח' כתום POST-IT 680-4</v>
      </c>
      <c r="C110" s="7">
        <v>6.9232500000000003</v>
      </c>
      <c r="D110" s="2"/>
    </row>
    <row r="111" spans="1:4" x14ac:dyDescent="0.2">
      <c r="A111" s="2">
        <v>108</v>
      </c>
      <c r="B111" s="2" t="str">
        <f>"דגלוני סימון 3Mיח' צהוב POST-IT 680-5"</f>
        <v>דגלוני סימון 3Mיח' צהוב POST-IT 680-5</v>
      </c>
      <c r="C111" s="7">
        <v>6.9232500000000003</v>
      </c>
      <c r="D111" s="2"/>
    </row>
    <row r="112" spans="1:4" x14ac:dyDescent="0.2">
      <c r="A112" s="2">
        <v>109</v>
      </c>
      <c r="B112" s="2" t="str">
        <f>"דגלוני חמישה צבעים 3M מיני 683-5CF POST-IT"</f>
        <v>דגלוני חמישה צבעים 3M מיני 683-5CF POST-IT</v>
      </c>
      <c r="C112" s="7">
        <v>19.819499999999998</v>
      </c>
      <c r="D112" s="2"/>
    </row>
    <row r="113" spans="1:4" x14ac:dyDescent="0.2">
      <c r="A113" s="2">
        <v>110</v>
      </c>
      <c r="B113" s="2" t="str">
        <f>"מזכריות 654-5PK זוהר 5 ) 3M יח')-76*76"</f>
        <v>מזכריות 654-5PK זוהר 5 ) 3M יח')-76*76</v>
      </c>
      <c r="C113" s="7">
        <v>21.6295</v>
      </c>
      <c r="D113" s="2"/>
    </row>
    <row r="114" spans="1:4" x14ac:dyDescent="0.2">
      <c r="A114" s="2">
        <v>111</v>
      </c>
      <c r="B114" s="2" t="str">
        <f>"מזכריות3M 653-AN זוהר12) 3M יח')"</f>
        <v>מזכריות3M 653-AN זוהר12) 3M יח')</v>
      </c>
      <c r="C114" s="7">
        <v>17.104499999999998</v>
      </c>
      <c r="D114" s="2"/>
    </row>
    <row r="115" spans="1:4" x14ac:dyDescent="0.2">
      <c r="A115" s="2">
        <v>112</v>
      </c>
      <c r="B115" s="2" t="str">
        <f>"מזכריות אולט' )5 3M 654-5UCיח')-76*76"</f>
        <v>מזכריות אולט' )5 3M 654-5UCיח')-76*76</v>
      </c>
      <c r="C115" s="7">
        <v>24.3445</v>
      </c>
      <c r="D115" s="2"/>
    </row>
    <row r="116" spans="1:4" x14ac:dyDescent="0.2">
      <c r="A116" s="2">
        <v>113</v>
      </c>
      <c r="B116" s="2" t="str">
        <f>"פנקס POST ITלב 3M 2007H*"</f>
        <v>פנקס POST ITלב 3M 2007H*</v>
      </c>
      <c r="C116" s="7">
        <v>13.1225</v>
      </c>
      <c r="D116" s="2"/>
    </row>
    <row r="117" spans="1:4" x14ac:dyDescent="0.2">
      <c r="A117" s="2">
        <v>114</v>
      </c>
      <c r="B117" s="2" t="str">
        <f>"נייר משי צבעוני 50*70 מעורב צבעים 20 -  יח'"</f>
        <v>נייר משי צבעוני 50*70 מעורב צבעים 20 -  יח'</v>
      </c>
      <c r="C117" s="7">
        <v>11.656400000000001</v>
      </c>
      <c r="D117" s="2"/>
    </row>
    <row r="118" spans="1:4" x14ac:dyDescent="0.2">
      <c r="A118" s="2">
        <v>115</v>
      </c>
      <c r="B118" s="2" t="str">
        <f>"דף לכריכה דמוי עור כחול רויאל (חב')C210-1"</f>
        <v>דף לכריכה דמוי עור כחול רויאל (חב')C210-1</v>
      </c>
      <c r="C118" s="7">
        <v>26.245000000000001</v>
      </c>
      <c r="D118" s="2"/>
    </row>
    <row r="119" spans="1:4" x14ac:dyDescent="0.2">
      <c r="A119" s="2">
        <v>116</v>
      </c>
      <c r="B119" s="2" t="str">
        <f>"בלוק לבן 50 A4 דף משובץ"</f>
        <v>בלוק לבן 50 A4 דף משובץ</v>
      </c>
      <c r="C119" s="7">
        <v>1.4480000000000002</v>
      </c>
      <c r="D119" s="2"/>
    </row>
    <row r="120" spans="1:4" x14ac:dyDescent="0.2">
      <c r="A120" s="2">
        <v>117</v>
      </c>
      <c r="B120" s="2" t="str">
        <f>"חוצץ מנילה צבעוני1/12 F בשרינק"</f>
        <v>חוצץ מנילה צבעוני1/12 F בשרינק</v>
      </c>
      <c r="C120" s="7">
        <v>0.85975000000000001</v>
      </c>
      <c r="D120" s="2"/>
    </row>
    <row r="121" spans="1:4" x14ac:dyDescent="0.2">
      <c r="A121" s="2">
        <v>118</v>
      </c>
      <c r="B121" s="2" t="str">
        <f>"דגלוני סימון 3M לחתימה 680-9 POST-IT*"</f>
        <v>דגלוני סימון 3M לחתימה 680-9 POST-IT*</v>
      </c>
      <c r="C121" s="7">
        <v>8.5975000000000001</v>
      </c>
      <c r="D121" s="2"/>
    </row>
    <row r="122" spans="1:4" x14ac:dyDescent="0.2">
      <c r="A122" s="2">
        <v>119</v>
      </c>
      <c r="B122" s="2" t="str">
        <f>"נייר צילום A4 מעורב צבעים 100 בחב'"</f>
        <v>נייר צילום A4 מעורב צבעים 100 בחב'</v>
      </c>
      <c r="C122" s="7">
        <v>4.9775</v>
      </c>
      <c r="D122" s="2"/>
    </row>
    <row r="123" spans="1:4" x14ac:dyDescent="0.2">
      <c r="A123" s="2">
        <v>120</v>
      </c>
      <c r="B123" s="2" t="str">
        <f>"חוצץ מנילה איכותי צבעוני1/12 F בשרינק"</f>
        <v>חוצץ מנילה איכותי צבעוני1/12 F בשרינק</v>
      </c>
      <c r="C123" s="7">
        <v>2.5339999999999998</v>
      </c>
      <c r="D123" s="2"/>
    </row>
    <row r="124" spans="1:4" x14ac:dyDescent="0.2">
      <c r="A124" s="2">
        <v>121</v>
      </c>
      <c r="B124" s="2" t="str">
        <f>"נייר עיתון100) 70X100 יח 'במארז )"</f>
        <v>נייר עיתון100) 70X100 יח 'במארז )</v>
      </c>
      <c r="C124" s="7">
        <v>26.154499999999999</v>
      </c>
      <c r="D124" s="2"/>
    </row>
    <row r="125" spans="1:4" x14ac:dyDescent="0.2">
      <c r="A125" s="2">
        <v>122</v>
      </c>
      <c r="B125" s="2" t="str">
        <f>"שלישיית דגלוני סימון עבים בשלושה צבעים זוהריםIT-"</f>
        <v>שלישיית דגלוני סימון עבים בשלושה צבעים זוהריםIT-</v>
      </c>
      <c r="C125" s="7">
        <v>21.267500000000002</v>
      </c>
      <c r="D125" s="2"/>
    </row>
    <row r="126" spans="1:4" x14ac:dyDescent="0.2">
      <c r="A126" s="2">
        <v>123</v>
      </c>
      <c r="B126" s="2" t="str">
        <f>"סט 3 מחברות ספירל ארטי 1 PP A4 נושא שורה ="</f>
        <v>סט 3 מחברות ספירל ארטי 1 PP A4 נושא שורה =</v>
      </c>
      <c r="C126" s="7">
        <v>10.407500000000001</v>
      </c>
      <c r="D126" s="2"/>
    </row>
    <row r="127" spans="1:4" x14ac:dyDescent="0.2">
      <c r="A127" s="2">
        <v>124</v>
      </c>
      <c r="B127" s="2" t="str">
        <f>"בריסטול מנילה טרפז (חב)"</f>
        <v>בריסטול מנילה טרפז (חב)</v>
      </c>
      <c r="C127" s="7">
        <v>11.6745</v>
      </c>
      <c r="D127" s="2"/>
    </row>
    <row r="128" spans="1:4" x14ac:dyDescent="0.2">
      <c r="A128" s="2">
        <v>125</v>
      </c>
      <c r="B128" s="2" t="str">
        <f>"נייר קלף לבן216 גר' A4 איכותי(100 דף)"</f>
        <v>נייר קלף לבן216 גר' A4 איכותי(100 דף)</v>
      </c>
      <c r="C128" s="7">
        <v>140.83610000000002</v>
      </c>
      <c r="D128" s="2"/>
    </row>
    <row r="129" spans="1:4" x14ac:dyDescent="0.2">
      <c r="A129" s="2">
        <v>126</v>
      </c>
      <c r="B129" s="2" t="str">
        <f>"מחברת ספירלה שורה 1 A4 נושא = ROSH-ROSH"</f>
        <v>מחברת ספירלה שורה 1 A4 נושא = ROSH-ROSH</v>
      </c>
      <c r="C129" s="7">
        <v>2.2625000000000002</v>
      </c>
      <c r="D129" s="2"/>
    </row>
    <row r="130" spans="1:4" x14ac:dyDescent="0.2">
      <c r="A130" s="2">
        <v>127</v>
      </c>
      <c r="B130" s="2" t="str">
        <f>"מחברת ספירלה משובץ 1 A4 נושא #  ROSH-ROSH"</f>
        <v>מחברת ספירלה משובץ 1 A4 נושא #  ROSH-ROSH</v>
      </c>
      <c r="C130" s="7">
        <v>2.2625000000000002</v>
      </c>
      <c r="D130" s="2"/>
    </row>
    <row r="131" spans="1:4" x14ac:dyDescent="0.2">
      <c r="A131" s="2">
        <v>128</v>
      </c>
      <c r="B131" s="2" t="str">
        <f>"מחברת ספירלה  2 A4 נושאים = ROSH-ROSH"</f>
        <v>מחברת ספירלה  2 A4 נושאים = ROSH-ROSH</v>
      </c>
      <c r="C131" s="7">
        <v>5.5748000000000006</v>
      </c>
      <c r="D131" s="2"/>
    </row>
    <row r="132" spans="1:4" x14ac:dyDescent="0.2">
      <c r="A132" s="2">
        <v>129</v>
      </c>
      <c r="B132" s="2" t="str">
        <f>"מחברת ספירלה משובץ 2 A4 נושאים # ROSH-ROSH"</f>
        <v>מחברת ספירלה משובץ 2 A4 נושאים # ROSH-ROSH</v>
      </c>
      <c r="C132" s="7">
        <v>5.5748000000000006</v>
      </c>
      <c r="D132" s="2"/>
    </row>
    <row r="133" spans="1:4" x14ac:dyDescent="0.2">
      <c r="A133" s="2">
        <v>130</v>
      </c>
      <c r="B133" s="2" t="str">
        <f>"מחברת ספירלה שורה 1 A5 נושא = ROSH-ROSH"</f>
        <v>מחברת ספירלה שורה 1 A5 נושא = ROSH-ROSH</v>
      </c>
      <c r="C133" s="7">
        <v>2.0362499999999999</v>
      </c>
      <c r="D133" s="2"/>
    </row>
    <row r="134" spans="1:4" x14ac:dyDescent="0.2">
      <c r="A134" s="2">
        <v>131</v>
      </c>
      <c r="B134" s="2" t="str">
        <f>"מחברת ספירלה משובץ 1 A5 נושא # ROSH-ROSH"</f>
        <v>מחברת ספירלה משובץ 1 A5 נושא # ROSH-ROSH</v>
      </c>
      <c r="C134" s="7">
        <v>1.9367000000000001</v>
      </c>
      <c r="D134" s="2"/>
    </row>
    <row r="135" spans="1:4" x14ac:dyDescent="0.2">
      <c r="A135" s="2">
        <v>132</v>
      </c>
      <c r="B135" s="2" t="str">
        <f>"מזכריות היילנד ) 3M 6549 מידה (75/75"</f>
        <v>מזכריות היילנד ) 3M 6549 מידה (75/75</v>
      </c>
      <c r="C135" s="7">
        <v>1.1403000000000001</v>
      </c>
      <c r="D135" s="2"/>
    </row>
    <row r="136" spans="1:4" x14ac:dyDescent="0.2">
      <c r="A136" s="2">
        <v>133</v>
      </c>
      <c r="B136" s="2" t="str">
        <f>"חוצץ מנילה A4לבן 100י""ח בחבילה"</f>
        <v>חוצץ מנילה A4לבן 100י"ח בחבילה</v>
      </c>
      <c r="C136" s="7">
        <v>13.937000000000001</v>
      </c>
      <c r="D136" s="2"/>
    </row>
    <row r="137" spans="1:4" x14ac:dyDescent="0.2">
      <c r="A137" s="2">
        <v>134</v>
      </c>
      <c r="B137" s="2" t="str">
        <f>"פנקס POST IT 3M פרח 2007F*"</f>
        <v>פנקס POST IT 3M פרח 2007F*</v>
      </c>
      <c r="C137" s="7">
        <v>14.932500000000001</v>
      </c>
      <c r="D137" s="2"/>
    </row>
    <row r="138" spans="1:4" x14ac:dyDescent="0.2">
      <c r="A138" s="2">
        <v>135</v>
      </c>
      <c r="B138" s="2" t="str">
        <f>"בריסטול לבן1/4 גליון170 גר '(100 במארז )"</f>
        <v>בריסטול לבן1/4 גליון170 גר '(100 במארז )</v>
      </c>
      <c r="C138" s="7">
        <v>26.606999999999999</v>
      </c>
      <c r="D138" s="2"/>
    </row>
    <row r="139" spans="1:4" x14ac:dyDescent="0.2">
      <c r="A139" s="2">
        <v>136</v>
      </c>
      <c r="B139" s="2" t="str">
        <f>"בלוק A4 ספירל EXCLUSIVE  לבן =ROSH ROSH"</f>
        <v>בלוק A4 ספירל EXCLUSIVE  לבן =ROSH ROSH</v>
      </c>
      <c r="C139" s="7">
        <v>13.1225</v>
      </c>
      <c r="D139" s="2"/>
    </row>
    <row r="140" spans="1:4" x14ac:dyDescent="0.2">
      <c r="A140" s="2">
        <v>137</v>
      </c>
      <c r="B140" s="2" t="str">
        <f>"בלוק A4 ספירל  EXCLUSIVE  צהוב =ROSH ROSH"</f>
        <v>בלוק A4 ספירל  EXCLUSIVE  צהוב =ROSH ROSH</v>
      </c>
      <c r="C140" s="7">
        <v>8.5975000000000001</v>
      </c>
      <c r="D140" s="2"/>
    </row>
    <row r="141" spans="1:4" x14ac:dyDescent="0.2">
      <c r="A141" s="2">
        <v>138</v>
      </c>
      <c r="B141" s="2" t="str">
        <f>"בלוק A5 ספירל  EXCLUSIVE  לבן =ROSH ROSH"</f>
        <v>בלוק A5 ספירל  EXCLUSIVE  לבן =ROSH ROSH</v>
      </c>
      <c r="C141" s="7">
        <v>6.7875000000000005</v>
      </c>
      <c r="D141" s="2"/>
    </row>
    <row r="142" spans="1:4" x14ac:dyDescent="0.2">
      <c r="A142" s="2">
        <v>139</v>
      </c>
      <c r="B142" s="2" t="str">
        <f>"בלוק A5 ספירל 80 דף EXCLUSIVEצהוב ROSH ROSH ="</f>
        <v>בלוק A5 ספירל 80 דף EXCLUSIVEצהוב ROSH ROSH =</v>
      </c>
      <c r="C142" s="7">
        <v>6.7875000000000005</v>
      </c>
      <c r="D142" s="2"/>
    </row>
    <row r="143" spans="1:4" x14ac:dyDescent="0.2">
      <c r="A143" s="2">
        <v>140</v>
      </c>
      <c r="B143" s="2" t="str">
        <f>"נייר צילום A3 80 ג צבעוני ירוקMG28"</f>
        <v>נייר צילום A3 80 ג צבעוני ירוקMG28</v>
      </c>
      <c r="C143" s="7">
        <v>35.295000000000002</v>
      </c>
      <c r="D143" s="2"/>
    </row>
    <row r="144" spans="1:4" x14ac:dyDescent="0.2">
      <c r="A144" s="2">
        <v>141</v>
      </c>
      <c r="B144" s="2" t="str">
        <f>"נייר צילום A3 80 ג צבעוני תכלת BL29"</f>
        <v>נייר צילום A3 80 ג צבעוני תכלת BL29</v>
      </c>
      <c r="C144" s="7">
        <v>35.295000000000002</v>
      </c>
      <c r="D144" s="2"/>
    </row>
    <row r="145" spans="1:4" x14ac:dyDescent="0.2">
      <c r="A145" s="2">
        <v>142</v>
      </c>
      <c r="B145" s="2" t="str">
        <f>"דיגלוני סימון צרים 4 ) 3M 683-4 יח' מילוי לטרידק"</f>
        <v>דיגלוני סימון צרים 4 ) 3M 683-4 יח' מילוי לטרידק</v>
      </c>
      <c r="C145" s="7">
        <v>14.3895</v>
      </c>
      <c r="D145" s="2"/>
    </row>
    <row r="146" spans="1:4" x14ac:dyDescent="0.2">
      <c r="A146" s="2">
        <v>143</v>
      </c>
      <c r="B146" s="2" t="str">
        <f>"נייר צילום A3 80 ג צבעוני ורודPI25"</f>
        <v>נייר צילום A3 80 ג צבעוני ורודPI25</v>
      </c>
      <c r="C146" s="7">
        <v>35.295000000000002</v>
      </c>
      <c r="D146" s="2"/>
    </row>
    <row r="147" spans="1:4" x14ac:dyDescent="0.2">
      <c r="A147" s="2">
        <v>144</v>
      </c>
      <c r="B147" s="2" t="str">
        <f>"סט 5 דגלוני סימון ארטי"</f>
        <v>סט 5 דגלוני סימון ארטי</v>
      </c>
      <c r="C147" s="7">
        <v>5.3395000000000001</v>
      </c>
      <c r="D147" s="2"/>
    </row>
    <row r="148" spans="1:4" x14ac:dyDescent="0.2">
      <c r="A148" s="2">
        <v>145</v>
      </c>
      <c r="B148" s="2" t="str">
        <f>"דבק  גלו בקבוק פטנטAD124   3M"</f>
        <v>דבק  גלו בקבוק פטנטAD124   3M</v>
      </c>
      <c r="C148" s="7">
        <v>10.8962</v>
      </c>
      <c r="D148" s="2"/>
    </row>
    <row r="149" spans="1:4" x14ac:dyDescent="0.2">
      <c r="A149" s="2">
        <v>146</v>
      </c>
      <c r="B149" s="2" t="str">
        <f>"כדורי קלקר6 ס''מ50 יחידות"</f>
        <v>כדורי קלקר6 ס''מ50 יחידות</v>
      </c>
      <c r="C149" s="7">
        <v>21.96435</v>
      </c>
      <c r="D149" s="2"/>
    </row>
    <row r="150" spans="1:4" x14ac:dyDescent="0.2">
      <c r="A150" s="2">
        <v>147</v>
      </c>
      <c r="B150" s="2" t="str">
        <f>"כבל למסך VGA זכר זכר 5 מטר"</f>
        <v>כבל למסך VGA זכר זכר 5 מטר</v>
      </c>
      <c r="C150" s="7">
        <v>19.91</v>
      </c>
      <c r="D150" s="2"/>
    </row>
    <row r="151" spans="1:4" x14ac:dyDescent="0.2">
      <c r="A151" s="2">
        <v>148</v>
      </c>
      <c r="B151" s="2" t="str">
        <f>"כבל מאריך USB 1.5 M ז/נ"</f>
        <v>כבל מאריך USB 1.5 M ז/נ</v>
      </c>
      <c r="C151" s="7">
        <v>4.5250000000000004</v>
      </c>
      <c r="D151" s="2"/>
    </row>
    <row r="152" spans="1:4" x14ac:dyDescent="0.2">
      <c r="A152" s="2">
        <v>149</v>
      </c>
      <c r="B152" s="2" t="str">
        <f>"כבל מאריך 5 USB מטר"</f>
        <v>כבל מאריך 5 USB מטר</v>
      </c>
      <c r="C152" s="7">
        <v>8.9595000000000002</v>
      </c>
      <c r="D152" s="2"/>
    </row>
    <row r="153" spans="1:4" x14ac:dyDescent="0.2">
      <c r="A153" s="2">
        <v>150</v>
      </c>
      <c r="B153" s="2" t="str">
        <f>"סט 10 מחברות שורה 40 דף צבעוניות קרביץ"</f>
        <v>סט 10 מחברות שורה 40 דף צבעוניות קרביץ</v>
      </c>
      <c r="C153" s="7">
        <v>6.2716500000000002</v>
      </c>
      <c r="D153" s="2"/>
    </row>
    <row r="154" spans="1:4" x14ac:dyDescent="0.2">
      <c r="A154" s="2">
        <v>151</v>
      </c>
      <c r="B154" s="2" t="str">
        <f>"סט 10 מחברות משובץ 40 דף צבעוניות קרביץ"</f>
        <v>סט 10 מחברות משובץ 40 דף צבעוניות קרביץ</v>
      </c>
      <c r="C154" s="7">
        <v>6.2445000000000004</v>
      </c>
      <c r="D154" s="2"/>
    </row>
    <row r="155" spans="1:4" x14ac:dyDescent="0.2">
      <c r="A155" s="2">
        <v>152</v>
      </c>
      <c r="B155" s="2" t="str">
        <f>"גליל נייר טרמי80/80 מ''מ לוגו קרביץ (5 יח')"</f>
        <v>גליל נייר טרמי80/80 מ''מ לוגו קרביץ (5 יח')</v>
      </c>
      <c r="C155" s="7">
        <v>5.3847500000000004</v>
      </c>
      <c r="D155" s="2"/>
    </row>
    <row r="156" spans="1:4" x14ac:dyDescent="0.2">
      <c r="A156" s="2">
        <v>153</v>
      </c>
      <c r="B156" s="2" t="str">
        <f>"גליל צלופן שקוף (1  גליון )"</f>
        <v>גליל צלופן שקוף (1  גליון )</v>
      </c>
      <c r="C156" s="7">
        <v>1.2669999999999999</v>
      </c>
      <c r="D156" s="2"/>
    </row>
    <row r="157" spans="1:4" x14ac:dyDescent="0.2">
      <c r="A157" s="2">
        <v>154</v>
      </c>
      <c r="B157" s="2" t="str">
        <f>"דפדפת שורה עבה 72דף 80גרם  A4- פנטל"</f>
        <v>דפדפת שורה עבה 72דף 80גרם  A4- פנטל</v>
      </c>
      <c r="C157" s="7">
        <v>2.6697500000000001</v>
      </c>
      <c r="D157" s="2"/>
    </row>
    <row r="158" spans="1:4" x14ac:dyDescent="0.2">
      <c r="A158" s="2">
        <v>155</v>
      </c>
      <c r="B158" s="2" t="str">
        <f>"דפדפת משובץ עבה 72דף 80גרם  A4 - פנטל"</f>
        <v>דפדפת משובץ עבה 72דף 80גרם  A4 - פנטל</v>
      </c>
      <c r="C158" s="7">
        <v>2.6697500000000001</v>
      </c>
      <c r="D158" s="2"/>
    </row>
    <row r="159" spans="1:4" x14ac:dyDescent="0.2">
      <c r="A159" s="2">
        <v>156</v>
      </c>
      <c r="B159" s="2" t="str">
        <f>"קלסר קרטון משרדי גב3 עברית פוליו"</f>
        <v>קלסר קרטון משרדי גב3 עברית פוליו</v>
      </c>
      <c r="C159" s="7">
        <v>3.4842500000000003</v>
      </c>
      <c r="D159" s="2"/>
    </row>
    <row r="160" spans="1:4" x14ac:dyDescent="0.2">
      <c r="A160" s="2">
        <v>157</v>
      </c>
      <c r="B160" s="2" t="str">
        <f>"קלסר קרטון משרדי גב5 עברית פוליו"</f>
        <v>קלסר קרטון משרדי גב5 עברית פוליו</v>
      </c>
      <c r="C160" s="7">
        <v>3.4842500000000003</v>
      </c>
      <c r="D160" s="2"/>
    </row>
    <row r="161" spans="1:4" x14ac:dyDescent="0.2">
      <c r="A161" s="2">
        <v>158</v>
      </c>
      <c r="B161" s="2" t="str">
        <f>"קלסר קרטון גב8 עברית פוליו קרביץ*"</f>
        <v>קלסר קרטון גב8 עברית פוליו קרביץ*</v>
      </c>
      <c r="C161" s="7">
        <v>3.4842500000000003</v>
      </c>
      <c r="D161" s="2"/>
    </row>
    <row r="162" spans="1:4" x14ac:dyDescent="0.2">
      <c r="A162" s="2">
        <v>159</v>
      </c>
      <c r="B162" s="2" t="str">
        <f>"קלסר קרטון משרדי קוורטו גב 8 ס''מ עברית"</f>
        <v>קלסר קרטון משרדי קוורטו גב 8 ס''מ עברית</v>
      </c>
      <c r="C162" s="7">
        <v>3.4842500000000003</v>
      </c>
      <c r="D162" s="2"/>
    </row>
    <row r="163" spans="1:4" x14ac:dyDescent="0.2">
      <c r="A163" s="2">
        <v>160</v>
      </c>
      <c r="B163" s="2" t="str">
        <f>"קלסר קרטון משרדי אוקטב גב8 עברית"</f>
        <v>קלסר קרטון משרדי אוקטב גב8 עברית</v>
      </c>
      <c r="C163" s="7">
        <v>3.4842500000000003</v>
      </c>
      <c r="D163" s="2"/>
    </row>
    <row r="164" spans="1:4" x14ac:dyDescent="0.2">
      <c r="A164" s="2">
        <v>161</v>
      </c>
      <c r="B164" s="2" t="str">
        <f>"קלסר קרטון משרדי גב8 אנגלית פוליו"</f>
        <v>קלסר קרטון משרדי גב8 אנגלית פוליו</v>
      </c>
      <c r="C164" s="7">
        <v>3.4842500000000003</v>
      </c>
      <c r="D164" s="2"/>
    </row>
    <row r="165" spans="1:4" x14ac:dyDescent="0.2">
      <c r="A165" s="2">
        <v>162</v>
      </c>
      <c r="B165" s="2" t="str">
        <f>"קלסר קרטון משרדי גב 5 אנגלית פוליו"</f>
        <v>קלסר קרטון משרדי גב 5 אנגלית פוליו</v>
      </c>
      <c r="C165" s="7">
        <v>3.4842500000000003</v>
      </c>
      <c r="D165" s="2"/>
    </row>
    <row r="166" spans="1:4" x14ac:dyDescent="0.2">
      <c r="A166" s="2">
        <v>163</v>
      </c>
      <c r="B166" s="2" t="str">
        <f>"קלסר משרדי פליקן גב5 שחור*"</f>
        <v>קלסר משרדי פליקן גב5 שחור*</v>
      </c>
      <c r="C166" s="7">
        <v>5.3395000000000001</v>
      </c>
      <c r="D166" s="2"/>
    </row>
    <row r="167" spans="1:4" x14ac:dyDescent="0.2">
      <c r="A167" s="2">
        <v>164</v>
      </c>
      <c r="B167" s="2" t="str">
        <f>"קלסר משרדי פליקן גב5 כחול"</f>
        <v>קלסר משרדי פליקן גב5 כחול</v>
      </c>
      <c r="C167" s="7">
        <v>5.3395000000000001</v>
      </c>
      <c r="D167" s="2"/>
    </row>
    <row r="168" spans="1:4" x14ac:dyDescent="0.2">
      <c r="A168" s="2">
        <v>165</v>
      </c>
      <c r="B168" s="2" t="str">
        <f>"קלסר משרדי פליקן גב 5 לבן"</f>
        <v>קלסר משרדי פליקן גב 5 לבן</v>
      </c>
      <c r="C168" s="7">
        <v>5.3395000000000001</v>
      </c>
      <c r="D168" s="2"/>
    </row>
    <row r="169" spans="1:4" x14ac:dyDescent="0.2">
      <c r="A169" s="2">
        <v>166</v>
      </c>
      <c r="B169" s="2" t="str">
        <f>"קלסר משרדי פליקן גב5 אדום"</f>
        <v>קלסר משרדי פליקן גב5 אדום</v>
      </c>
      <c r="C169" s="7">
        <v>5.3395000000000001</v>
      </c>
      <c r="D169" s="2"/>
    </row>
    <row r="170" spans="1:4" x14ac:dyDescent="0.2">
      <c r="A170" s="2">
        <v>167</v>
      </c>
      <c r="B170" s="2" t="str">
        <f>"קלסר משרדי פליקן גב5 בורדו"</f>
        <v>קלסר משרדי פליקן גב5 בורדו</v>
      </c>
      <c r="C170" s="7">
        <v>5.3395000000000001</v>
      </c>
      <c r="D170" s="2"/>
    </row>
    <row r="171" spans="1:4" x14ac:dyDescent="0.2">
      <c r="A171" s="2">
        <v>168</v>
      </c>
      <c r="B171" s="2" t="str">
        <f>"קלסר משרדי פליקן גב 5 צהוב"</f>
        <v>קלסר משרדי פליקן גב 5 צהוב</v>
      </c>
      <c r="C171" s="7">
        <v>5.3395000000000001</v>
      </c>
      <c r="D171" s="2"/>
    </row>
    <row r="172" spans="1:4" x14ac:dyDescent="0.2">
      <c r="A172" s="2">
        <v>169</v>
      </c>
      <c r="B172" s="2" t="str">
        <f>"קלסר משרדי פליקן גב 5 ירוק"</f>
        <v>קלסר משרדי פליקן גב 5 ירוק</v>
      </c>
      <c r="C172" s="7">
        <v>5.3395000000000001</v>
      </c>
      <c r="D172" s="2"/>
    </row>
    <row r="173" spans="1:4" x14ac:dyDescent="0.2">
      <c r="A173" s="2">
        <v>170</v>
      </c>
      <c r="B173" s="2" t="str">
        <f>"קלסר משרדי פליקן גב5 אפור"</f>
        <v>קלסר משרדי פליקן גב5 אפור</v>
      </c>
      <c r="C173" s="7">
        <v>5.3395000000000001</v>
      </c>
      <c r="D173" s="2"/>
    </row>
    <row r="174" spans="1:4" x14ac:dyDescent="0.2">
      <c r="A174" s="2">
        <v>171</v>
      </c>
      <c r="B174" s="2" t="str">
        <f>"קלסר משרדי פליקן גב5 כתום"</f>
        <v>קלסר משרדי פליקן גב5 כתום</v>
      </c>
      <c r="C174" s="7">
        <v>5.3395000000000001</v>
      </c>
      <c r="D174" s="2"/>
    </row>
    <row r="175" spans="1:4" x14ac:dyDescent="0.2">
      <c r="A175" s="2">
        <v>172</v>
      </c>
      <c r="B175" s="2" t="str">
        <f>"קלסר משרדי פליקן גב5 סגול"</f>
        <v>קלסר משרדי פליקן גב5 סגול</v>
      </c>
      <c r="C175" s="7">
        <v>5.3395000000000001</v>
      </c>
      <c r="D175" s="2"/>
    </row>
    <row r="176" spans="1:4" x14ac:dyDescent="0.2">
      <c r="A176" s="2">
        <v>173</v>
      </c>
      <c r="B176" s="2" t="str">
        <f>"קלסר משרדי פליקן גב8 שחור*"</f>
        <v>קלסר משרדי פליקן גב8 שחור*</v>
      </c>
      <c r="C176" s="7">
        <v>5.3395000000000001</v>
      </c>
      <c r="D176" s="2"/>
    </row>
    <row r="177" spans="1:4" x14ac:dyDescent="0.2">
      <c r="A177" s="2">
        <v>174</v>
      </c>
      <c r="B177" s="2" t="str">
        <f>"קלסר משרדי פליקן גב8 כחול"</f>
        <v>קלסר משרדי פליקן גב8 כחול</v>
      </c>
      <c r="C177" s="7">
        <v>5.3395000000000001</v>
      </c>
      <c r="D177" s="2"/>
    </row>
    <row r="178" spans="1:4" x14ac:dyDescent="0.2">
      <c r="A178" s="2">
        <v>175</v>
      </c>
      <c r="B178" s="2" t="str">
        <f>"קלסר משרדי פליקן גב8 לבן"</f>
        <v>קלסר משרדי פליקן גב8 לבן</v>
      </c>
      <c r="C178" s="7">
        <v>5.3395000000000001</v>
      </c>
      <c r="D178" s="2"/>
    </row>
    <row r="179" spans="1:4" x14ac:dyDescent="0.2">
      <c r="A179" s="2">
        <v>176</v>
      </c>
      <c r="B179" s="2" t="str">
        <f>"קלסר משרדי פליקן גב8 אדום"</f>
        <v>קלסר משרדי פליקן גב8 אדום</v>
      </c>
      <c r="C179" s="7">
        <v>5.3395000000000001</v>
      </c>
      <c r="D179" s="2"/>
    </row>
    <row r="180" spans="1:4" x14ac:dyDescent="0.2">
      <c r="A180" s="2">
        <v>177</v>
      </c>
      <c r="B180" s="2" t="str">
        <f>"קלסר משרדי פליקן גב8 בורדו"</f>
        <v>קלסר משרדי פליקן גב8 בורדו</v>
      </c>
      <c r="C180" s="7">
        <v>5.3395000000000001</v>
      </c>
      <c r="D180" s="2"/>
    </row>
    <row r="181" spans="1:4" x14ac:dyDescent="0.2">
      <c r="A181" s="2">
        <v>178</v>
      </c>
      <c r="B181" s="2" t="str">
        <f>"קלסר משרדי פליקן גב8 צהוב"</f>
        <v>קלסר משרדי פליקן גב8 צהוב</v>
      </c>
      <c r="C181" s="7">
        <v>5.3395000000000001</v>
      </c>
      <c r="D181" s="2"/>
    </row>
    <row r="182" spans="1:4" x14ac:dyDescent="0.2">
      <c r="A182" s="2">
        <v>179</v>
      </c>
      <c r="B182" s="2" t="str">
        <f>"קלסר משרדי פליקן גב8 ירוק"</f>
        <v>קלסר משרדי פליקן גב8 ירוק</v>
      </c>
      <c r="C182" s="7">
        <v>5.3395000000000001</v>
      </c>
      <c r="D182" s="2"/>
    </row>
    <row r="183" spans="1:4" x14ac:dyDescent="0.2">
      <c r="A183" s="2">
        <v>180</v>
      </c>
      <c r="B183" s="2" t="str">
        <f>"קלסר משרדי פליקן גב8 אפור"</f>
        <v>קלסר משרדי פליקן גב8 אפור</v>
      </c>
      <c r="C183" s="7">
        <v>5.3395000000000001</v>
      </c>
      <c r="D183" s="2"/>
    </row>
    <row r="184" spans="1:4" x14ac:dyDescent="0.2">
      <c r="A184" s="2">
        <v>181</v>
      </c>
      <c r="B184" s="2" t="str">
        <f>"קלסר משרדי פליקן גב 8 כתום"</f>
        <v>קלסר משרדי פליקן גב 8 כתום</v>
      </c>
      <c r="C184" s="7">
        <v>5.3395000000000001</v>
      </c>
      <c r="D184" s="2"/>
    </row>
    <row r="185" spans="1:4" x14ac:dyDescent="0.2">
      <c r="A185" s="2">
        <v>182</v>
      </c>
      <c r="B185" s="2" t="str">
        <f>"קלסר משרדי פליקן גב 8 ורוד"</f>
        <v>קלסר משרדי פליקן גב 8 ורוד</v>
      </c>
      <c r="C185" s="7">
        <v>5.3395000000000001</v>
      </c>
      <c r="D185" s="2"/>
    </row>
    <row r="186" spans="1:4" x14ac:dyDescent="0.2">
      <c r="A186" s="2">
        <v>183</v>
      </c>
      <c r="B186" s="2" t="str">
        <f>"קלסר משרדי פליקן גב8 טורקיז"</f>
        <v>קלסר משרדי פליקן גב8 טורקיז</v>
      </c>
      <c r="C186" s="7">
        <v>5.3395000000000001</v>
      </c>
      <c r="D186" s="2"/>
    </row>
    <row r="187" spans="1:4" x14ac:dyDescent="0.2">
      <c r="A187" s="2">
        <v>184</v>
      </c>
      <c r="B187" s="2" t="str">
        <f>"קלסר משרדי פנטל/פליקן גב8 טורקיז"</f>
        <v>קלסר משרדי פנטל/פליקן גב8 טורקיז</v>
      </c>
      <c r="C187" s="7">
        <v>5.3395000000000001</v>
      </c>
      <c r="D187" s="2"/>
    </row>
    <row r="188" spans="1:4" x14ac:dyDescent="0.2">
      <c r="A188" s="2">
        <v>185</v>
      </c>
      <c r="B188" s="2" t="str">
        <f>"קלסר משרדי פנטל/פליקן גב8 סגול"</f>
        <v>קלסר משרדי פנטל/פליקן גב8 סגול</v>
      </c>
      <c r="C188" s="7">
        <v>5.3395000000000001</v>
      </c>
      <c r="D188" s="2"/>
    </row>
    <row r="189" spans="1:4" x14ac:dyDescent="0.2">
      <c r="A189" s="2">
        <v>186</v>
      </c>
      <c r="B189" s="2" t="str">
        <f>"קלסר משרדי פנטל גב5 סגול"</f>
        <v>קלסר משרדי פנטל גב5 סגול</v>
      </c>
      <c r="C189" s="7">
        <v>5.3395000000000001</v>
      </c>
      <c r="D189" s="2"/>
    </row>
    <row r="190" spans="1:4" x14ac:dyDescent="0.2">
      <c r="A190" s="2">
        <v>187</v>
      </c>
      <c r="B190" s="2" t="str">
        <f>"קלסר משרדי פנטל/פליקן גב8 שחור*"</f>
        <v>קלסר משרדי פנטל/פליקן גב8 שחור*</v>
      </c>
      <c r="C190" s="7">
        <v>5.3395000000000001</v>
      </c>
      <c r="D190" s="2"/>
    </row>
    <row r="191" spans="1:4" x14ac:dyDescent="0.2">
      <c r="A191" s="2">
        <v>188</v>
      </c>
      <c r="B191" s="2" t="str">
        <f>"קלסר משרדי פנטל/פליקן גב8 כחול"</f>
        <v>קלסר משרדי פנטל/פליקן גב8 כחול</v>
      </c>
      <c r="C191" s="7">
        <v>5.3395000000000001</v>
      </c>
      <c r="D191" s="2"/>
    </row>
    <row r="192" spans="1:4" x14ac:dyDescent="0.2">
      <c r="A192" s="2">
        <v>189</v>
      </c>
      <c r="B192" s="2" t="str">
        <f>"קלסר משרדי פנטל/פליקן גב8 לבן"</f>
        <v>קלסר משרדי פנטל/פליקן גב8 לבן</v>
      </c>
      <c r="C192" s="7">
        <v>5.3395000000000001</v>
      </c>
      <c r="D192" s="2"/>
    </row>
    <row r="193" spans="1:4" x14ac:dyDescent="0.2">
      <c r="A193" s="2">
        <v>190</v>
      </c>
      <c r="B193" s="2" t="str">
        <f>"קלסר משרדי פנטל/פליקן גב8 אדום"</f>
        <v>קלסר משרדי פנטל/פליקן גב8 אדום</v>
      </c>
      <c r="C193" s="7">
        <v>5.3395000000000001</v>
      </c>
      <c r="D193" s="2"/>
    </row>
    <row r="194" spans="1:4" x14ac:dyDescent="0.2">
      <c r="A194" s="2">
        <v>191</v>
      </c>
      <c r="B194" s="2" t="str">
        <f>"קלסר משרדי פנטל גב8 ירוק"</f>
        <v>קלסר משרדי פנטל גב8 ירוק</v>
      </c>
      <c r="C194" s="7">
        <v>5.3395000000000001</v>
      </c>
      <c r="D194" s="2"/>
    </row>
    <row r="195" spans="1:4" x14ac:dyDescent="0.2">
      <c r="A195" s="2">
        <v>192</v>
      </c>
      <c r="B195" s="2" t="str">
        <f>"קלסר משרדי פנטל גב5 שחור"</f>
        <v>קלסר משרדי פנטל גב5 שחור</v>
      </c>
      <c r="C195" s="7">
        <v>5.3395000000000001</v>
      </c>
      <c r="D195" s="2"/>
    </row>
    <row r="196" spans="1:4" x14ac:dyDescent="0.2">
      <c r="A196" s="2">
        <v>193</v>
      </c>
      <c r="B196" s="2" t="str">
        <f>"קלסר משרדי פנטל גב5 כחול"</f>
        <v>קלסר משרדי פנטל גב5 כחול</v>
      </c>
      <c r="C196" s="7">
        <v>5.3395000000000001</v>
      </c>
      <c r="D196" s="2"/>
    </row>
    <row r="197" spans="1:4" x14ac:dyDescent="0.2">
      <c r="A197" s="2">
        <v>194</v>
      </c>
      <c r="B197" s="2" t="str">
        <f>"קלסר משרדי פנטל גב5 לבן"</f>
        <v>קלסר משרדי פנטל גב5 לבן</v>
      </c>
      <c r="C197" s="7">
        <v>5.3395000000000001</v>
      </c>
      <c r="D197" s="2"/>
    </row>
    <row r="198" spans="1:4" x14ac:dyDescent="0.2">
      <c r="A198" s="2">
        <v>195</v>
      </c>
      <c r="B198" s="2" t="str">
        <f>"קלסר משרדי פנטל גב5 אדום"</f>
        <v>קלסר משרדי פנטל גב5 אדום</v>
      </c>
      <c r="C198" s="7">
        <v>5.3395000000000001</v>
      </c>
      <c r="D198" s="2"/>
    </row>
    <row r="199" spans="1:4" x14ac:dyDescent="0.2">
      <c r="A199" s="2">
        <v>196</v>
      </c>
      <c r="B199" s="2" t="str">
        <f>"קלסר משרדי פנטל/פליקן גב5 ירוק"</f>
        <v>קלסר משרדי פנטל/פליקן גב5 ירוק</v>
      </c>
      <c r="C199" s="7">
        <v>5.3395000000000001</v>
      </c>
      <c r="D199" s="2"/>
    </row>
    <row r="200" spans="1:4" x14ac:dyDescent="0.2">
      <c r="A200" s="2">
        <v>197</v>
      </c>
      <c r="B200" s="2" t="str">
        <f>"תיק שתי טבעות פוליו שחור אטרקטיב*"</f>
        <v>תיק שתי טבעות פוליו שחור אטרקטיב*</v>
      </c>
      <c r="C200" s="7">
        <v>4.0724999999999998</v>
      </c>
      <c r="D200" s="2"/>
    </row>
    <row r="201" spans="1:4" x14ac:dyDescent="0.2">
      <c r="A201" s="2">
        <v>198</v>
      </c>
      <c r="B201" s="2" t="str">
        <f>"תיק שתי טבעות פוליו אדום אטרקטיב"</f>
        <v>תיק שתי טבעות פוליו אדום אטרקטיב</v>
      </c>
      <c r="C201" s="7">
        <v>4.0724999999999998</v>
      </c>
      <c r="D201" s="2"/>
    </row>
    <row r="202" spans="1:4" x14ac:dyDescent="0.2">
      <c r="A202" s="2">
        <v>199</v>
      </c>
      <c r="B202" s="2" t="str">
        <f>"תיק שתי טבעות פוליו כחול אטרקטיב"</f>
        <v>תיק שתי טבעות פוליו כחול אטרקטיב</v>
      </c>
      <c r="C202" s="7">
        <v>4.0724999999999998</v>
      </c>
      <c r="D202" s="2"/>
    </row>
    <row r="203" spans="1:4" x14ac:dyDescent="0.2">
      <c r="A203" s="2">
        <v>200</v>
      </c>
      <c r="B203" s="2" t="str">
        <f>"תיק שתי טבעות פוליו ירוק אטרקטיב"</f>
        <v>תיק שתי טבעות פוליו ירוק אטרקטיב</v>
      </c>
      <c r="C203" s="7">
        <v>4.0724999999999998</v>
      </c>
      <c r="D203" s="2"/>
    </row>
    <row r="204" spans="1:4" x14ac:dyDescent="0.2">
      <c r="A204" s="2">
        <v>201</v>
      </c>
      <c r="B204" s="2" t="str">
        <f>"תיק שתי טבעות פוליו לבן אטרקטיב"</f>
        <v>תיק שתי טבעות פוליו לבן אטרקטיב</v>
      </c>
      <c r="C204" s="7">
        <v>4.0724999999999998</v>
      </c>
      <c r="D204" s="2"/>
    </row>
    <row r="205" spans="1:4" x14ac:dyDescent="0.2">
      <c r="A205" s="2">
        <v>202</v>
      </c>
      <c r="B205" s="2" t="str">
        <f>"תיק שתי טבעות פוליו צהוב אטרקטיב"</f>
        <v>תיק שתי טבעות פוליו צהוב אטרקטיב</v>
      </c>
      <c r="C205" s="7">
        <v>4.0724999999999998</v>
      </c>
      <c r="D205" s="2"/>
    </row>
    <row r="206" spans="1:4" x14ac:dyDescent="0.2">
      <c r="A206" s="2">
        <v>203</v>
      </c>
      <c r="B206" s="2" t="str">
        <f>"תיק שתי טבעות פוליו כתום אטרקטיב"</f>
        <v>תיק שתי טבעות פוליו כתום אטרקטיב</v>
      </c>
      <c r="C206" s="7">
        <v>4.0724999999999998</v>
      </c>
      <c r="D206" s="2"/>
    </row>
    <row r="207" spans="1:4" x14ac:dyDescent="0.2">
      <c r="A207" s="2">
        <v>204</v>
      </c>
      <c r="B207" s="2" t="str">
        <f>"תיק שתי טבעות פוליו סגול אטרקטיב"</f>
        <v>תיק שתי טבעות פוליו סגול אטרקטיב</v>
      </c>
      <c r="C207" s="7">
        <v>4.0724999999999998</v>
      </c>
      <c r="D207" s="2"/>
    </row>
    <row r="208" spans="1:4" x14ac:dyDescent="0.2">
      <c r="A208" s="2">
        <v>205</v>
      </c>
      <c r="B208" s="2" t="str">
        <f>"תיק שתי טבעות פוליו אפור אטרקטיב"</f>
        <v>תיק שתי טבעות פוליו אפור אטרקטיב</v>
      </c>
      <c r="C208" s="7">
        <v>4.0724999999999998</v>
      </c>
      <c r="D208" s="2"/>
    </row>
    <row r="209" spans="1:4" x14ac:dyDescent="0.2">
      <c r="A209" s="2">
        <v>206</v>
      </c>
      <c r="B209" s="2" t="str">
        <f>"תיק שתי טבעות P.O / פנטל מהודר כחול - אקסלוסיב"</f>
        <v>תיק שתי טבעות P.O / פנטל מהודר כחול - אקסלוסיב</v>
      </c>
      <c r="C209" s="7">
        <v>4.0724999999999998</v>
      </c>
      <c r="D209" s="2"/>
    </row>
    <row r="210" spans="1:4" x14ac:dyDescent="0.2">
      <c r="A210" s="2">
        <v>207</v>
      </c>
      <c r="B210" s="2" t="str">
        <f>"תיק שתי טבעותP.O / פנטלמהודר ירוק - אקסלוסיב"</f>
        <v>תיק שתי טבעותP.O / פנטלמהודר ירוק - אקסלוסיב</v>
      </c>
      <c r="C210" s="7">
        <v>4.0724999999999998</v>
      </c>
      <c r="D210" s="2"/>
    </row>
    <row r="211" spans="1:4" x14ac:dyDescent="0.2">
      <c r="A211" s="2">
        <v>208</v>
      </c>
      <c r="B211" s="2" t="str">
        <f>"תיק שתי טבעות  P.O/ פנטל  מהודר שחור - אקסלוסיב*"</f>
        <v>תיק שתי טבעות  P.O/ פנטל  מהודר שחור - אקסלוסיב*</v>
      </c>
      <c r="C211" s="7">
        <v>4.0724999999999998</v>
      </c>
      <c r="D211" s="2"/>
    </row>
    <row r="212" spans="1:4" x14ac:dyDescent="0.2">
      <c r="A212" s="2">
        <v>209</v>
      </c>
      <c r="B212" s="2" t="str">
        <f>"תיק שתי טבעות  P.O / פנטל מהודר אפור - אקסלוסיב"</f>
        <v>תיק שתי טבעות  P.O / פנטל מהודר אפור - אקסלוסיב</v>
      </c>
      <c r="C212" s="7">
        <v>4.0724999999999998</v>
      </c>
      <c r="D212" s="2"/>
    </row>
    <row r="213" spans="1:4" x14ac:dyDescent="0.2">
      <c r="A213" s="2">
        <v>210</v>
      </c>
      <c r="B213" s="2" t="str">
        <f>"תיק שתי טבעות P.O / פנטלמהודר אדום - אקסלוסיב"</f>
        <v>תיק שתי טבעות P.O / פנטלמהודר אדום - אקסלוסיב</v>
      </c>
      <c r="C213" s="7">
        <v>4.0724999999999998</v>
      </c>
      <c r="D213" s="2"/>
    </row>
    <row r="214" spans="1:4" x14ac:dyDescent="0.2">
      <c r="A214" s="2">
        <v>211</v>
      </c>
      <c r="B214" s="2" t="str">
        <f>"תיק שתי טבעותP.O מהודר כתום - אקסלוסיב"</f>
        <v>תיק שתי טבעותP.O מהודר כתום - אקסלוסיב</v>
      </c>
      <c r="C214" s="7">
        <v>4.0724999999999998</v>
      </c>
      <c r="D214" s="2"/>
    </row>
    <row r="215" spans="1:4" x14ac:dyDescent="0.2">
      <c r="A215" s="2">
        <v>212</v>
      </c>
      <c r="B215" s="2" t="str">
        <f>"תיק שתי טבעות P.O/פנטל מהודר סגול - אקסלוסיב"</f>
        <v>תיק שתי טבעות P.O/פנטל מהודר סגול - אקסלוסיב</v>
      </c>
      <c r="C215" s="7">
        <v>4.0724999999999998</v>
      </c>
      <c r="D215" s="2"/>
    </row>
    <row r="216" spans="1:4" x14ac:dyDescent="0.2">
      <c r="A216" s="2">
        <v>213</v>
      </c>
      <c r="B216" s="2" t="str">
        <f>"תיק שתי טבעות P.O / פנטל מהודר צהוב - אקסלוסיב"</f>
        <v>תיק שתי טבעות P.O / פנטל מהודר צהוב - אקסלוסיב</v>
      </c>
      <c r="C216" s="7">
        <v>4.0724999999999998</v>
      </c>
      <c r="D216" s="2"/>
    </row>
    <row r="217" spans="1:4" x14ac:dyDescent="0.2">
      <c r="A217" s="2">
        <v>214</v>
      </c>
      <c r="B217" s="2" t="str">
        <f>"תיק שתי טבעות P.O מהודר טורקיז -אקסלוסיב"</f>
        <v>תיק שתי טבעות P.O מהודר טורקיז -אקסלוסיב</v>
      </c>
      <c r="C217" s="7">
        <v>4.0724999999999998</v>
      </c>
      <c r="D217" s="2"/>
    </row>
    <row r="218" spans="1:4" x14ac:dyDescent="0.2">
      <c r="A218" s="2">
        <v>215</v>
      </c>
      <c r="B218" s="2" t="str">
        <f>"תיק שתי טבעות P.O מהודר לבן - אקסלוסיב"</f>
        <v>תיק שתי טבעות P.O מהודר לבן - אקסלוסיב</v>
      </c>
      <c r="C218" s="7">
        <v>4.0724999999999998</v>
      </c>
      <c r="D218" s="2"/>
    </row>
    <row r="219" spans="1:4" x14ac:dyDescent="0.2">
      <c r="A219" s="2">
        <v>216</v>
      </c>
      <c r="B219" s="2" t="str">
        <f>"קלסר משרדי פליקן גב 5 טורקיז"</f>
        <v>קלסר משרדי פליקן גב 5 טורקיז</v>
      </c>
      <c r="C219" s="7">
        <v>5.3395000000000001</v>
      </c>
      <c r="D219" s="2"/>
    </row>
    <row r="220" spans="1:4" x14ac:dyDescent="0.2">
      <c r="A220" s="2">
        <v>217</v>
      </c>
      <c r="B220" s="2" t="str">
        <f>"חוצץ מנילה צבעוני לקלסרF 1/7 בשרינק"</f>
        <v>חוצץ מנילה צבעוני לקלסרF 1/7 בשרינק</v>
      </c>
      <c r="C220" s="7">
        <v>0.72400000000000009</v>
      </c>
      <c r="D220" s="2"/>
    </row>
    <row r="221" spans="1:4" x14ac:dyDescent="0.2">
      <c r="A221" s="2">
        <v>218</v>
      </c>
      <c r="B221" s="2" t="str">
        <f>"חוצץ בריסטול מנילה א-ב בשרינקF"</f>
        <v>חוצץ בריסטול מנילה א-ב בשרינקF</v>
      </c>
      <c r="C221" s="7">
        <v>1.9005000000000001</v>
      </c>
      <c r="D221" s="2"/>
    </row>
    <row r="222" spans="1:4" x14ac:dyDescent="0.2">
      <c r="A222" s="2">
        <v>219</v>
      </c>
      <c r="B222" s="2" t="str">
        <f>"חוצץ פלסטיק 1/7 צבעוני A4"</f>
        <v>חוצץ פלסטיק 1/7 צבעוני A4</v>
      </c>
      <c r="C222" s="7">
        <v>3.91865</v>
      </c>
      <c r="D222" s="2"/>
    </row>
    <row r="223" spans="1:4" x14ac:dyDescent="0.2">
      <c r="A223" s="2">
        <v>220</v>
      </c>
      <c r="B223" s="2" t="str">
        <f>"חוצץ פלסטיק 1/12 צבעוני A4"</f>
        <v>חוצץ פלסטיק 1/12 צבעוני A4</v>
      </c>
      <c r="C223" s="7">
        <v>4.8779500000000002</v>
      </c>
      <c r="D223" s="2"/>
    </row>
    <row r="224" spans="1:4" x14ac:dyDescent="0.2">
      <c r="A224" s="2">
        <v>221</v>
      </c>
      <c r="B224" s="2" t="str">
        <f>"חוצץ פלסטיק צבעוני א-ב פוליו"</f>
        <v>חוצץ פלסטיק צבעוני א-ב פוליו</v>
      </c>
      <c r="C224" s="7">
        <v>8.5975000000000001</v>
      </c>
      <c r="D224" s="2"/>
    </row>
    <row r="225" spans="1:4" x14ac:dyDescent="0.2">
      <c r="A225" s="2">
        <v>222</v>
      </c>
      <c r="B225" s="2" t="str">
        <f>"סדרן מכורך למינציה 12 מחלקות"</f>
        <v>סדרן מכורך למינציה 12 מחלקות</v>
      </c>
      <c r="C225" s="7">
        <v>8.1449999999999996</v>
      </c>
      <c r="D225" s="2"/>
    </row>
    <row r="226" spans="1:4" x14ac:dyDescent="0.2">
      <c r="A226" s="2">
        <v>223</v>
      </c>
      <c r="B226" s="2" t="str">
        <f>"סדרן מכורך למינציה + קלפה 31 מחלקות"</f>
        <v>סדרן מכורך למינציה + קלפה 31 מחלקות</v>
      </c>
      <c r="C226" s="7">
        <v>38.01</v>
      </c>
      <c r="D226" s="2"/>
    </row>
    <row r="227" spans="1:4" x14ac:dyDescent="0.2">
      <c r="A227" s="2">
        <v>224</v>
      </c>
      <c r="B227" s="2" t="str">
        <f>"תיק גומי 40 חוץ פוליו גב 2.5"</f>
        <v>תיק גומי 40 חוץ פוליו גב 2.5</v>
      </c>
      <c r="C227" s="7">
        <v>3.4209000000000001</v>
      </c>
      <c r="D227" s="2"/>
    </row>
    <row r="228" spans="1:4" x14ac:dyDescent="0.2">
      <c r="A228" s="2">
        <v>225</v>
      </c>
      <c r="B228" s="2" t="str">
        <f>"תיק גומי 40 חוץ פוליו גב 5"</f>
        <v>תיק גומי 40 חוץ פוליו גב 5</v>
      </c>
      <c r="C228" s="7">
        <v>4.7060000000000004</v>
      </c>
      <c r="D228" s="2"/>
    </row>
    <row r="229" spans="1:4" x14ac:dyDescent="0.2">
      <c r="A229" s="2">
        <v>226</v>
      </c>
      <c r="B229" s="2" t="str">
        <f>"תיק מנילה פוליו עם ברזל אדום*-)  גוון מט )"</f>
        <v>תיק מנילה פוליו עם ברזל אדום*-)  גוון מט )</v>
      </c>
      <c r="C229" s="7">
        <v>1.2217500000000001</v>
      </c>
      <c r="D229" s="2"/>
    </row>
    <row r="230" spans="1:4" x14ac:dyDescent="0.2">
      <c r="A230" s="2">
        <v>227</v>
      </c>
      <c r="B230" s="2" t="str">
        <f>"תיק מנילה פוליו עם ברזל כחול"</f>
        <v>תיק מנילה פוליו עם ברזל כחול</v>
      </c>
      <c r="C230" s="7">
        <v>1.2217500000000001</v>
      </c>
      <c r="D230" s="2"/>
    </row>
    <row r="231" spans="1:4" x14ac:dyDescent="0.2">
      <c r="A231" s="2">
        <v>228</v>
      </c>
      <c r="B231" s="2" t="str">
        <f>"תיק מנילה פוליו עם ברזל ורוד"</f>
        <v>תיק מנילה פוליו עם ברזל ורוד</v>
      </c>
      <c r="C231" s="7">
        <v>1.2217500000000001</v>
      </c>
      <c r="D231" s="2"/>
    </row>
    <row r="232" spans="1:4" x14ac:dyDescent="0.2">
      <c r="A232" s="2">
        <v>229</v>
      </c>
      <c r="B232" s="2" t="str">
        <f>"תיק מנילה פוליו עם ברזל ירוק"</f>
        <v>תיק מנילה פוליו עם ברזל ירוק</v>
      </c>
      <c r="C232" s="7">
        <v>1.2217500000000001</v>
      </c>
      <c r="D232" s="2"/>
    </row>
    <row r="233" spans="1:4" x14ac:dyDescent="0.2">
      <c r="A233" s="2">
        <v>230</v>
      </c>
      <c r="B233" s="2" t="str">
        <f>"תיק מנילה פוליו עם ברזל כתום"</f>
        <v>תיק מנילה פוליו עם ברזל כתום</v>
      </c>
      <c r="C233" s="7">
        <v>1.2217500000000001</v>
      </c>
      <c r="D233" s="2"/>
    </row>
    <row r="234" spans="1:4" x14ac:dyDescent="0.2">
      <c r="A234" s="2">
        <v>231</v>
      </c>
      <c r="B234" s="2" t="str">
        <f>"תיק מנילה פוליו עם ברזל צהוב"</f>
        <v>תיק מנילה פוליו עם ברזל צהוב</v>
      </c>
      <c r="C234" s="7">
        <v>1.2217500000000001</v>
      </c>
      <c r="D234" s="2"/>
    </row>
    <row r="235" spans="1:4" x14ac:dyDescent="0.2">
      <c r="A235" s="2">
        <v>232</v>
      </c>
      <c r="B235" s="2" t="str">
        <f>"תיק פוליגל עם גומי גב-5 אדום"</f>
        <v>תיק פוליגל עם גומי גב-5 אדום</v>
      </c>
      <c r="C235" s="7">
        <v>5.0679999999999996</v>
      </c>
      <c r="D235" s="2"/>
    </row>
    <row r="236" spans="1:4" x14ac:dyDescent="0.2">
      <c r="A236" s="2">
        <v>233</v>
      </c>
      <c r="B236" s="2" t="str">
        <f>"תיק פוליגל עם גומי גב -5 כחול"</f>
        <v>תיק פוליגל עם גומי גב -5 כחול</v>
      </c>
      <c r="C236" s="7">
        <v>5.0679999999999996</v>
      </c>
      <c r="D236" s="2"/>
    </row>
    <row r="237" spans="1:4" x14ac:dyDescent="0.2">
      <c r="A237" s="2">
        <v>234</v>
      </c>
      <c r="B237" s="2" t="str">
        <f>"תיק פוליגל עם גומי גב -5 שחור*"</f>
        <v>תיק פוליגל עם גומי גב -5 שחור*</v>
      </c>
      <c r="C237" s="7">
        <v>5.0679999999999996</v>
      </c>
      <c r="D237" s="2"/>
    </row>
    <row r="238" spans="1:4" x14ac:dyDescent="0.2">
      <c r="A238" s="2">
        <v>235</v>
      </c>
      <c r="B238" s="2" t="str">
        <f>"תיק פוליגל עם גומי גב -8 אדום"</f>
        <v>תיק פוליגל עם גומי גב -8 אדום</v>
      </c>
      <c r="C238" s="7">
        <v>4.7060000000000004</v>
      </c>
      <c r="D238" s="2"/>
    </row>
    <row r="239" spans="1:4" x14ac:dyDescent="0.2">
      <c r="A239" s="2">
        <v>236</v>
      </c>
      <c r="B239" s="2" t="str">
        <f>"תיק פוליגל עם גומי גב -8 כחול"</f>
        <v>תיק פוליגל עם גומי גב -8 כחול</v>
      </c>
      <c r="C239" s="7">
        <v>4.7060000000000004</v>
      </c>
      <c r="D239" s="2"/>
    </row>
    <row r="240" spans="1:4" x14ac:dyDescent="0.2">
      <c r="A240" s="2">
        <v>237</v>
      </c>
      <c r="B240" s="2" t="str">
        <f>"תיק פוליגל עם גומי גב -8 שחור"</f>
        <v>תיק פוליגל עם גומי גב -8 שחור</v>
      </c>
      <c r="C240" s="7">
        <v>4.7060000000000004</v>
      </c>
      <c r="D240" s="2"/>
    </row>
    <row r="241" spans="1:4" x14ac:dyDescent="0.2">
      <c r="A241" s="2">
        <v>238</v>
      </c>
      <c r="B241" s="2" t="str">
        <f>"תיק פוליגל עם גומי גב5 ירוק"</f>
        <v>תיק פוליגל עם גומי גב5 ירוק</v>
      </c>
      <c r="C241" s="7">
        <v>5.0679999999999996</v>
      </c>
      <c r="D241" s="2"/>
    </row>
    <row r="242" spans="1:4" x14ac:dyDescent="0.2">
      <c r="A242" s="2">
        <v>239</v>
      </c>
      <c r="B242" s="2" t="str">
        <f>"תיק פוליגל עם גומי גב 5 לבן"</f>
        <v>תיק פוליגל עם גומי גב 5 לבן</v>
      </c>
      <c r="C242" s="7">
        <v>5.0679999999999996</v>
      </c>
      <c r="D242" s="2"/>
    </row>
    <row r="243" spans="1:4" x14ac:dyDescent="0.2">
      <c r="A243" s="2">
        <v>240</v>
      </c>
      <c r="B243" s="2" t="str">
        <f>"תיק פוליגל עם גומי גב 5 צהוב"</f>
        <v>תיק פוליגל עם גומי גב 5 צהוב</v>
      </c>
      <c r="C243" s="7">
        <v>5.0679999999999996</v>
      </c>
      <c r="D243" s="2"/>
    </row>
    <row r="244" spans="1:4" x14ac:dyDescent="0.2">
      <c r="A244" s="2">
        <v>241</v>
      </c>
      <c r="B244" s="2" t="str">
        <f>"תיק פוליגל עם גומי גב8 ירוק"</f>
        <v>תיק פוליגל עם גומי גב8 ירוק</v>
      </c>
      <c r="C244" s="7">
        <v>4.7060000000000004</v>
      </c>
      <c r="D244" s="2"/>
    </row>
    <row r="245" spans="1:4" x14ac:dyDescent="0.2">
      <c r="A245" s="2">
        <v>242</v>
      </c>
      <c r="B245" s="2" t="str">
        <f>"תיק פוליגל עם גומי גב8 לבן"</f>
        <v>תיק פוליגל עם גומי גב8 לבן</v>
      </c>
      <c r="C245" s="7">
        <v>4.7060000000000004</v>
      </c>
      <c r="D245" s="2"/>
    </row>
    <row r="246" spans="1:4" x14ac:dyDescent="0.2">
      <c r="A246" s="2">
        <v>243</v>
      </c>
      <c r="B246" s="2" t="str">
        <f>"תיק פוליגל עם גומי גב8 צהוב"</f>
        <v>תיק פוליגל עם גומי גב8 צהוב</v>
      </c>
      <c r="C246" s="7">
        <v>4.7060000000000004</v>
      </c>
      <c r="D246" s="2"/>
    </row>
    <row r="247" spans="1:4" x14ac:dyDescent="0.2">
      <c r="A247" s="2">
        <v>244</v>
      </c>
      <c r="B247" s="2" t="str">
        <f>"תיק פוליגל עם גומי גב  2.5 אדום-כולל גומי"</f>
        <v>תיק פוליגל עם גומי גב  2.5 אדום-כולל גומי</v>
      </c>
      <c r="C247" s="7">
        <v>4.3892499999999997</v>
      </c>
      <c r="D247" s="2"/>
    </row>
    <row r="248" spans="1:4" x14ac:dyDescent="0.2">
      <c r="A248" s="2">
        <v>245</v>
      </c>
      <c r="B248" s="2" t="str">
        <f>"תיק פוליגל עם גומי גב 2.5 ירוק"</f>
        <v>תיק פוליגל עם גומי גב 2.5 ירוק</v>
      </c>
      <c r="C248" s="7">
        <v>4.3892499999999997</v>
      </c>
      <c r="D248" s="2"/>
    </row>
    <row r="249" spans="1:4" x14ac:dyDescent="0.2">
      <c r="A249" s="2">
        <v>246</v>
      </c>
      <c r="B249" s="2" t="str">
        <f>"תיק פוליגל עם גומי גב 2.5 שחור"</f>
        <v>תיק פוליגל עם גומי גב 2.5 שחור</v>
      </c>
      <c r="C249" s="7">
        <v>4.3892499999999997</v>
      </c>
      <c r="D249" s="2"/>
    </row>
    <row r="250" spans="1:4" x14ac:dyDescent="0.2">
      <c r="A250" s="2">
        <v>247</v>
      </c>
      <c r="B250" s="2" t="str">
        <f>"תיק פוליגל עם גומי גב -2.5 כחול"</f>
        <v>תיק פוליגל עם גומי גב -2.5 כחול</v>
      </c>
      <c r="C250" s="7">
        <v>4.3892499999999997</v>
      </c>
      <c r="D250" s="2"/>
    </row>
    <row r="251" spans="1:4" x14ac:dyDescent="0.2">
      <c r="A251" s="2">
        <v>248</v>
      </c>
      <c r="B251" s="2" t="str">
        <f>"תיק פוליגל עם גומי גב 2.5 לבן"</f>
        <v>תיק פוליגל עם גומי גב 2.5 לבן</v>
      </c>
      <c r="C251" s="7">
        <v>4.3892499999999997</v>
      </c>
      <c r="D251" s="2"/>
    </row>
    <row r="252" spans="1:4" x14ac:dyDescent="0.2">
      <c r="A252" s="2">
        <v>249</v>
      </c>
      <c r="B252" s="2" t="str">
        <f>"סט 3 מגשי רשת מתכת עם מעמד שחור"</f>
        <v>סט 3 מגשי רשת מתכת עם מעמד שחור</v>
      </c>
      <c r="C252" s="7">
        <v>27.0595</v>
      </c>
      <c r="D252" s="2"/>
    </row>
    <row r="253" spans="1:4" x14ac:dyDescent="0.2">
      <c r="A253" s="2">
        <v>250</v>
      </c>
      <c r="B253" s="2" t="str">
        <f>"סט 3 מגשים, מודולרי - שקוף (איציק)*"</f>
        <v>סט 3 מגשים, מודולרי - שקוף (איציק)*</v>
      </c>
      <c r="C253" s="7">
        <v>26.064</v>
      </c>
      <c r="D253" s="2"/>
    </row>
    <row r="254" spans="1:4" x14ac:dyDescent="0.2">
      <c r="A254" s="2">
        <v>251</v>
      </c>
      <c r="B254" s="2" t="str">
        <f>"סט3 מגשים  מודולרי - עשן (איציק)"</f>
        <v>סט3 מגשים  מודולרי - עשן (איציק)</v>
      </c>
      <c r="C254" s="7">
        <v>26.064</v>
      </c>
      <c r="D254" s="2"/>
    </row>
    <row r="255" spans="1:4" x14ac:dyDescent="0.2">
      <c r="A255" s="2">
        <v>252</v>
      </c>
      <c r="B255" s="2" t="str">
        <f>"סט3 מגשים  מודולרי - שחור (איציק)"</f>
        <v>סט3 מגשים  מודולרי - שחור (איציק)</v>
      </c>
      <c r="C255" s="7">
        <v>26.064</v>
      </c>
      <c r="D255" s="2"/>
    </row>
    <row r="256" spans="1:4" x14ac:dyDescent="0.2">
      <c r="A256" s="2">
        <v>253</v>
      </c>
      <c r="B256" s="2" t="str">
        <f>"סט 3 מגשים מודולרי - שקוף )) C.I.Q  איציק"</f>
        <v>סט 3 מגשים מודולרי - שקוף )) C.I.Q  איציק</v>
      </c>
      <c r="C256" s="7">
        <v>27.0595</v>
      </c>
      <c r="D256" s="2"/>
    </row>
    <row r="257" spans="1:4" x14ac:dyDescent="0.2">
      <c r="A257" s="2">
        <v>254</v>
      </c>
      <c r="B257" s="2" t="str">
        <f>"סט3 מגשים''- ''CRAZY TRAYS כחול"</f>
        <v>סט3 מגשים''- ''CRAZY TRAYS כחול</v>
      </c>
      <c r="C257" s="7">
        <v>27.0595</v>
      </c>
      <c r="D257" s="2"/>
    </row>
    <row r="258" spans="1:4" x14ac:dyDescent="0.2">
      <c r="A258" s="2">
        <v>255</v>
      </c>
      <c r="B258" s="2" t="str">
        <f>"יומן יומי קוורטו - שחף (מרופד) 2019-2020"</f>
        <v>יומן יומי קוורטו - שחף (מרופד) 2019-2020</v>
      </c>
      <c r="C258" s="7">
        <v>18.009499999999999</v>
      </c>
      <c r="D258" s="2"/>
    </row>
    <row r="259" spans="1:4" x14ac:dyDescent="0.2">
      <c r="A259" s="2">
        <v>256</v>
      </c>
      <c r="B259" s="2" t="str">
        <f>"יומן שבועי קוורטו - דרור(מרופד) 2018-2019"</f>
        <v>יומן שבועי קוורטו - דרור(מרופד) 2018-2019</v>
      </c>
      <c r="C259" s="7">
        <v>15.8375</v>
      </c>
      <c r="D259" s="2"/>
    </row>
    <row r="260" spans="1:4" x14ac:dyDescent="0.2">
      <c r="A260" s="2">
        <v>257</v>
      </c>
      <c r="B260" s="2" t="str">
        <f>"יומן יומי קוורטו מדורג - חצב 2019-2020"</f>
        <v>יומן יומי קוורטו מדורג - חצב 2019-2020</v>
      </c>
      <c r="C260" s="7">
        <v>20.724499999999999</v>
      </c>
      <c r="D260" s="2"/>
    </row>
    <row r="261" spans="1:4" x14ac:dyDescent="0.2">
      <c r="A261" s="2">
        <v>258</v>
      </c>
      <c r="B261" s="2" t="str">
        <f>"סט 20 תג זיהוי  PVC  ארטי (( 8.5*9.5"</f>
        <v>סט 20 תג זיהוי  PVC  ארטי (( 8.5*9.5</v>
      </c>
      <c r="C261" s="7">
        <v>3.4842500000000003</v>
      </c>
      <c r="D261" s="2"/>
    </row>
    <row r="262" spans="1:4" x14ac:dyDescent="0.2">
      <c r="A262" s="2">
        <v>259</v>
      </c>
      <c r="B262" s="2" t="str">
        <f>"תג זיהוי 54*90 עם סיכה ותנין"</f>
        <v>תג זיהוי 54*90 עם סיכה ותנין</v>
      </c>
      <c r="C262" s="7">
        <v>0.49775000000000008</v>
      </c>
      <c r="D262" s="2"/>
    </row>
    <row r="263" spans="1:4" x14ac:dyDescent="0.2">
      <c r="A263" s="2">
        <v>260</v>
      </c>
      <c r="B263" s="2" t="str">
        <f>"תיק גומי40 חוץ גב+ 5 מחיצה"</f>
        <v>תיק גומי40 חוץ גב+ 5 מחיצה</v>
      </c>
      <c r="C263" s="7">
        <v>3.7104999999999997</v>
      </c>
      <c r="D263" s="2"/>
    </row>
    <row r="264" spans="1:4" x14ac:dyDescent="0.2">
      <c r="A264" s="2">
        <v>261</v>
      </c>
      <c r="B264" s="2" t="str">
        <f>"תיק גומי גב 40 8 חוץ ללא מחיצה"</f>
        <v>תיק גומי גב 40 8 חוץ ללא מחיצה</v>
      </c>
      <c r="C264" s="7">
        <v>5.9367999999999999</v>
      </c>
      <c r="D264" s="2"/>
    </row>
    <row r="265" spans="1:4" x14ac:dyDescent="0.2">
      <c r="A265" s="2">
        <v>262</v>
      </c>
      <c r="B265" s="2" t="str">
        <f>"חוצץ פלסטיק עבה איכותי פוליו 1/12 ארטי"</f>
        <v>חוצץ פלסטיק עבה איכותי פוליו 1/12 ארטי</v>
      </c>
      <c r="C265" s="7">
        <v>4.0724999999999998</v>
      </c>
      <c r="D265" s="2"/>
    </row>
    <row r="266" spans="1:4" x14ac:dyDescent="0.2">
      <c r="A266" s="2">
        <v>263</v>
      </c>
      <c r="B266" s="2" t="str">
        <f>"קופסת קרטון לאחסון וגניזה ללא מכסה"</f>
        <v>קופסת קרטון לאחסון וגניזה ללא מכסה</v>
      </c>
      <c r="C266" s="7">
        <v>3.3485000000000005</v>
      </c>
      <c r="D266" s="2"/>
    </row>
    <row r="267" spans="1:4" x14ac:dyDescent="0.2">
      <c r="A267" s="2">
        <v>264</v>
      </c>
      <c r="B267" s="2" t="str">
        <f>"סט 4 יו יו לתג זיהוי"</f>
        <v>סט 4 יו יו לתג זיהוי</v>
      </c>
      <c r="C267" s="7">
        <v>6.335</v>
      </c>
      <c r="D267" s="2"/>
    </row>
    <row r="268" spans="1:4" x14ac:dyDescent="0.2">
      <c r="A268" s="2">
        <v>265</v>
      </c>
      <c r="B268" s="2" t="str">
        <f>"יומן יומי מדורגA5 SKETCH אסיף15*21 ספר 2018-2019"</f>
        <v>יומן יומי מדורגA5 SKETCH אסיף15*21 ספר 2018-2019</v>
      </c>
      <c r="C268" s="7">
        <v>16.1995</v>
      </c>
      <c r="D268" s="2"/>
    </row>
    <row r="269" spans="1:4" x14ac:dyDescent="0.2">
      <c r="A269" s="2">
        <v>266</v>
      </c>
      <c r="B269" s="2" t="str">
        <f>"תיק מהנדס פלסטי דגם בודד מעורב"</f>
        <v>תיק מהנדס פלסטי דגם בודד מעורב</v>
      </c>
      <c r="C269" s="7">
        <v>3.5747500000000003</v>
      </c>
      <c r="D269" s="2"/>
    </row>
    <row r="270" spans="1:4" x14ac:dyDescent="0.2">
      <c r="A270" s="2">
        <v>267</v>
      </c>
      <c r="B270" s="2" t="str">
        <f>"תיק מהנדס פלסטי דגם כפול מעורב"</f>
        <v>תיק מהנדס פלסטי דגם כפול מעורב</v>
      </c>
      <c r="C270" s="7">
        <v>5.8825000000000003</v>
      </c>
      <c r="D270" s="2"/>
    </row>
    <row r="271" spans="1:4" x14ac:dyDescent="0.2">
      <c r="A271" s="2">
        <v>268</v>
      </c>
      <c r="B271" s="2" t="str">
        <f>"יומן יומי קווארטו כריכה קשה-שחף -2019-2020"</f>
        <v>יומן יומי קווארטו כריכה קשה-שחף -2019-2020</v>
      </c>
      <c r="C271" s="7">
        <v>18.009499999999999</v>
      </c>
      <c r="D271" s="2"/>
    </row>
    <row r="272" spans="1:4" x14ac:dyDescent="0.2">
      <c r="A272" s="2">
        <v>269</v>
      </c>
      <c r="B272" s="2" t="str">
        <f>"מכסה קרטון לקופסאות אחסון וגניזה"</f>
        <v>מכסה קרטון לקופסאות אחסון וגניזה</v>
      </c>
      <c r="C272" s="7">
        <v>0.88690000000000002</v>
      </c>
      <c r="D272" s="2"/>
    </row>
    <row r="273" spans="1:4" x14ac:dyDescent="0.2">
      <c r="A273" s="2">
        <v>270</v>
      </c>
      <c r="B273" s="2" t="str">
        <f>"יומן יומי מכורך פוליו חרמון"</f>
        <v>יומן יומי מכורך פוליו חרמון</v>
      </c>
      <c r="C273" s="7">
        <v>42.145850000000003</v>
      </c>
      <c r="D273" s="2"/>
    </row>
    <row r="274" spans="1:4" x14ac:dyDescent="0.2">
      <c r="A274" s="2">
        <v>271</v>
      </c>
      <c r="B274" s="2" t="str">
        <f>"קופסא לקטלוג משולש מפוליגל -צבע כחול"</f>
        <v>קופסא לקטלוג משולש מפוליגל -צבע כחול</v>
      </c>
      <c r="C274" s="7">
        <v>7.6924999999999999</v>
      </c>
      <c r="D274" s="2"/>
    </row>
    <row r="275" spans="1:4" x14ac:dyDescent="0.2">
      <c r="A275" s="2">
        <v>272</v>
      </c>
      <c r="B275" s="2" t="str">
        <f>"קופסא לקטלוג משולש מפוליגל -צבע לבן"</f>
        <v>קופסא לקטלוג משולש מפוליגל -צבע לבן</v>
      </c>
      <c r="C275" s="7">
        <v>7.6924999999999999</v>
      </c>
      <c r="D275" s="2"/>
    </row>
    <row r="276" spans="1:4" x14ac:dyDescent="0.2">
      <c r="A276" s="2">
        <v>273</v>
      </c>
      <c r="B276" s="2" t="str">
        <f>"קופסא לקטלוג מפלסטיק - כחול"</f>
        <v>קופסא לקטלוג מפלסטיק - כחול</v>
      </c>
      <c r="C276" s="7">
        <v>7.1495000000000006</v>
      </c>
      <c r="D276" s="2"/>
    </row>
    <row r="277" spans="1:4" x14ac:dyDescent="0.2">
      <c r="A277" s="2">
        <v>274</v>
      </c>
      <c r="B277" s="2" t="str">
        <f>"יומן שבועי ( ( 10*17  ספירלה SKETCH 2018-2019"</f>
        <v>יומן שבועי ( ( 10*17  ספירלה SKETCH 2018-2019</v>
      </c>
      <c r="C277" s="7">
        <v>7.6924999999999999</v>
      </c>
      <c r="D277" s="2"/>
    </row>
    <row r="278" spans="1:4" x14ac:dyDescent="0.2">
      <c r="A278" s="2">
        <v>275</v>
      </c>
      <c r="B278" s="2" t="str">
        <f>"קלסר משרדי פנטל גב5 בורדו"</f>
        <v>קלסר משרדי פנטל גב5 בורדו</v>
      </c>
      <c r="C278" s="7">
        <v>5.3395000000000001</v>
      </c>
      <c r="D278" s="2"/>
    </row>
    <row r="279" spans="1:4" x14ac:dyDescent="0.2">
      <c r="A279" s="2">
        <v>276</v>
      </c>
      <c r="B279" s="2" t="str">
        <f>"קלסר משרדי פנטל גב 5 צהוב"</f>
        <v>קלסר משרדי פנטל גב 5 צהוב</v>
      </c>
      <c r="C279" s="7">
        <v>5.3395000000000001</v>
      </c>
      <c r="D279" s="2"/>
    </row>
    <row r="280" spans="1:4" x14ac:dyDescent="0.2">
      <c r="A280" s="2">
        <v>277</v>
      </c>
      <c r="B280" s="2" t="str">
        <f>"קלסר משרדי פנטל/פליקן גב 8  בורדו"</f>
        <v>קלסר משרדי פנטל/פליקן גב 8  בורדו</v>
      </c>
      <c r="C280" s="7">
        <v>5.3395000000000001</v>
      </c>
      <c r="D280" s="2"/>
    </row>
    <row r="281" spans="1:4" x14ac:dyDescent="0.2">
      <c r="A281" s="2">
        <v>278</v>
      </c>
      <c r="B281" s="2" t="str">
        <f>"קלסר משרדי פנטל/פליקן גב 8 צהוב"</f>
        <v>קלסר משרדי פנטל/פליקן גב 8 צהוב</v>
      </c>
      <c r="C281" s="7">
        <v>5.3395000000000001</v>
      </c>
      <c r="D281" s="2"/>
    </row>
    <row r="282" spans="1:4" x14ac:dyDescent="0.2">
      <c r="A282" s="2">
        <v>279</v>
      </c>
      <c r="B282" s="2" t="str">
        <f>"קלסר משרדי פנטל/פליקן גב 8  אפור"</f>
        <v>קלסר משרדי פנטל/פליקן גב 8  אפור</v>
      </c>
      <c r="C282" s="7">
        <v>5.3395000000000001</v>
      </c>
      <c r="D282" s="2"/>
    </row>
    <row r="283" spans="1:4" x14ac:dyDescent="0.2">
      <c r="A283" s="2">
        <v>280</v>
      </c>
      <c r="B283" s="2" t="str">
        <f>"קלסר משרדי פנטל/פליקן גב 8 כתום"</f>
        <v>קלסר משרדי פנטל/פליקן גב 8 כתום</v>
      </c>
      <c r="C283" s="7">
        <v>5.3395000000000001</v>
      </c>
      <c r="D283" s="2"/>
    </row>
    <row r="284" spans="1:4" x14ac:dyDescent="0.2">
      <c r="A284" s="2">
        <v>281</v>
      </c>
      <c r="B284" s="2" t="str">
        <f>"קלסר משרדי פנטל/פליקן גב 8 ורוד"</f>
        <v>קלסר משרדי פנטל/פליקן גב 8 ורוד</v>
      </c>
      <c r="C284" s="7">
        <v>5.8825000000000003</v>
      </c>
      <c r="D284" s="2"/>
    </row>
    <row r="285" spans="1:4" x14ac:dyDescent="0.2">
      <c r="A285" s="2">
        <v>282</v>
      </c>
      <c r="B285" s="2" t="str">
        <f>"שקיות פוליתילן עבה במיוחד 24*34 70 מיקרון (100יח"</f>
        <v>שקיות פוליתילן עבה במיוחד 24*34 70 מיקרון (100יח</v>
      </c>
      <c r="C285" s="7">
        <v>15.204000000000001</v>
      </c>
      <c r="D285" s="2"/>
    </row>
    <row r="286" spans="1:4" x14ac:dyDescent="0.2">
      <c r="A286" s="2">
        <v>283</v>
      </c>
      <c r="B286" s="2" t="str">
        <f>"טריפלE דיאגונלי כחלחל מפל"</f>
        <v>טריפלE דיאגונלי כחלחל מפל</v>
      </c>
      <c r="C286" s="7">
        <v>3.9820000000000007</v>
      </c>
      <c r="D286" s="2"/>
    </row>
    <row r="287" spans="1:4" x14ac:dyDescent="0.2">
      <c r="A287" s="2">
        <v>284</v>
      </c>
      <c r="B287" s="2" t="str">
        <f>"תיק הגשה חצי שקוף פוליו מעורב צבעים (מארז 10יח)"</f>
        <v>תיק הגשה חצי שקוף פוליו מעורב צבעים (מארז 10יח)</v>
      </c>
      <c r="C287" s="7">
        <v>5.3395000000000001</v>
      </c>
      <c r="D287" s="2"/>
    </row>
    <row r="288" spans="1:4" x14ac:dyDescent="0.2">
      <c r="A288" s="2">
        <v>285</v>
      </c>
      <c r="B288" s="2" t="str">
        <f>"שמרדף פוליו (מארז -( 100   מידה 24*33"</f>
        <v>שמרדף פוליו (מארז -( 100   מידה 24*33</v>
      </c>
      <c r="C288" s="7">
        <v>8.0545000000000009</v>
      </c>
      <c r="D288" s="2"/>
    </row>
    <row r="289" spans="1:4" x14ac:dyDescent="0.2">
      <c r="A289" s="2">
        <v>286</v>
      </c>
      <c r="B289" s="2" t="str">
        <f>"בריסטול פוליו מנילה לבן חב"</f>
        <v>בריסטול פוליו מנילה לבן חב</v>
      </c>
      <c r="C289" s="7">
        <v>17.3217</v>
      </c>
      <c r="D289" s="2"/>
    </row>
    <row r="290" spans="1:4" x14ac:dyDescent="0.2">
      <c r="A290" s="2">
        <v>287</v>
      </c>
      <c r="B290" s="2" t="str">
        <f>"הרמוניקה פוליו מכורך למינציה 1/31"</f>
        <v>הרמוניקה פוליו מכורך למינציה 1/31</v>
      </c>
      <c r="C290" s="7">
        <v>41.177500000000002</v>
      </c>
      <c r="D290" s="2"/>
    </row>
    <row r="291" spans="1:4" x14ac:dyDescent="0.2">
      <c r="A291" s="2">
        <v>288</v>
      </c>
      <c r="B291" s="2" t="str">
        <f>"גומיה לבנה לתחתונים10*6"</f>
        <v>גומיה לבנה לתחתונים10*6</v>
      </c>
      <c r="C291" s="7">
        <v>4.3440000000000003</v>
      </c>
      <c r="D291" s="2"/>
    </row>
    <row r="292" spans="1:4" x14ac:dyDescent="0.2">
      <c r="A292" s="2">
        <v>289</v>
      </c>
      <c r="B292" s="2" t="str">
        <f>"אלבום כרטיסי ביקור מולחם שרון 96 כיסים"</f>
        <v>אלבום כרטיסי ביקור מולחם שרון 96 כיסים</v>
      </c>
      <c r="C292" s="7">
        <v>10.407500000000001</v>
      </c>
      <c r="D292" s="2"/>
    </row>
    <row r="293" spans="1:4" x14ac:dyDescent="0.2">
      <c r="A293" s="2">
        <v>290</v>
      </c>
      <c r="B293" s="2" t="str">
        <f>"חוצץ פלסטיק צבעוני 1/7 אוקטב"</f>
        <v>חוצץ פלסטיק צבעוני 1/7 אוקטב</v>
      </c>
      <c r="C293" s="7">
        <v>2.2625000000000002</v>
      </c>
      <c r="D293" s="2"/>
    </row>
    <row r="294" spans="1:4" x14ac:dyDescent="0.2">
      <c r="A294" s="2">
        <v>291</v>
      </c>
      <c r="B294" s="2" t="str">
        <f>"בלוק לפליפצ'ארט 50 ) 70/100  דף )"</f>
        <v>בלוק לפליפצ'ארט 50 ) 70/100  דף )</v>
      </c>
      <c r="C294" s="7">
        <v>21.6295</v>
      </c>
      <c r="D294" s="2"/>
    </row>
    <row r="295" spans="1:4" x14ac:dyDescent="0.2">
      <c r="A295" s="2">
        <v>292</v>
      </c>
      <c r="B295" s="2" t="str">
        <f>"סט 3 מגשי דואר &lt;&lt;חדש&gt;&gt; שקוף*"</f>
        <v>סט 3 מגשי דואר &lt;&lt;חדש&gt;&gt; שקוף*</v>
      </c>
      <c r="C295" s="7">
        <v>24.3445</v>
      </c>
      <c r="D295" s="2"/>
    </row>
    <row r="296" spans="1:4" x14ac:dyDescent="0.2">
      <c r="A296" s="2">
        <v>293</v>
      </c>
      <c r="B296" s="2" t="str">
        <f>"תיק הגשה חצי שקוף פוליו כחול"</f>
        <v>תיק הגשה חצי שקוף פוליו כחול</v>
      </c>
      <c r="C296" s="7">
        <v>0.36200000000000004</v>
      </c>
      <c r="D296" s="2"/>
    </row>
    <row r="297" spans="1:4" x14ac:dyDescent="0.2">
      <c r="A297" s="2">
        <v>294</v>
      </c>
      <c r="B297" s="2" t="str">
        <f>"תיק הגשה חצי שקוף פוליו אדום"</f>
        <v>תיק הגשה חצי שקוף פוליו אדום</v>
      </c>
      <c r="C297" s="7">
        <v>0.36200000000000004</v>
      </c>
      <c r="D297" s="2"/>
    </row>
    <row r="298" spans="1:4" x14ac:dyDescent="0.2">
      <c r="A298" s="2">
        <v>295</v>
      </c>
      <c r="B298" s="2" t="str">
        <f>"תיק הגשה חצי שקוף פוליו ירוק"</f>
        <v>תיק הגשה חצי שקוף פוליו ירוק</v>
      </c>
      <c r="C298" s="7">
        <v>0.36200000000000004</v>
      </c>
      <c r="D298" s="2"/>
    </row>
    <row r="299" spans="1:4" x14ac:dyDescent="0.2">
      <c r="A299" s="2">
        <v>296</v>
      </c>
      <c r="B299" s="2" t="str">
        <f>"תיק הגשה חצי שקוף פוליו לבן"</f>
        <v>תיק הגשה חצי שקוף פוליו לבן</v>
      </c>
      <c r="C299" s="7">
        <v>0.36200000000000004</v>
      </c>
      <c r="D299" s="2"/>
    </row>
    <row r="300" spans="1:4" x14ac:dyDescent="0.2">
      <c r="A300" s="2">
        <v>297</v>
      </c>
      <c r="B300" s="2" t="str">
        <f>"תיק הגשה חצי שקוף פוליו אפור"</f>
        <v>תיק הגשה חצי שקוף פוליו אפור</v>
      </c>
      <c r="C300" s="7">
        <v>0.36200000000000004</v>
      </c>
      <c r="D300" s="2"/>
    </row>
    <row r="301" spans="1:4" x14ac:dyDescent="0.2">
      <c r="A301" s="2">
        <v>298</v>
      </c>
      <c r="B301" s="2" t="str">
        <f>"תיק הגשה חצי שקוף פוליו צהוב"</f>
        <v>תיק הגשה חצי שקוף פוליו צהוב</v>
      </c>
      <c r="C301" s="7">
        <v>0.36200000000000004</v>
      </c>
      <c r="D301" s="2"/>
    </row>
    <row r="302" spans="1:4" x14ac:dyDescent="0.2">
      <c r="A302" s="2">
        <v>299</v>
      </c>
      <c r="B302" s="2" t="str">
        <f>"תיק הגשה חצי שקוף פוליו ורוד"</f>
        <v>תיק הגשה חצי שקוף פוליו ורוד</v>
      </c>
      <c r="C302" s="7">
        <v>0.36200000000000004</v>
      </c>
      <c r="D302" s="2"/>
    </row>
    <row r="303" spans="1:4" x14ac:dyDescent="0.2">
      <c r="A303" s="2">
        <v>300</v>
      </c>
      <c r="B303" s="2" t="str">
        <f>"תיק הגשה חצי שקוף פוליו תכלת"</f>
        <v>תיק הגשה חצי שקוף פוליו תכלת</v>
      </c>
      <c r="C303" s="7">
        <v>0.36200000000000004</v>
      </c>
      <c r="D303" s="2"/>
    </row>
    <row r="304" spans="1:4" x14ac:dyDescent="0.2">
      <c r="A304" s="2">
        <v>301</v>
      </c>
      <c r="B304" s="2" t="str">
        <f>"תיק הגשה חצי שקוף פוליו שחור*"</f>
        <v>תיק הגשה חצי שקוף פוליו שחור*</v>
      </c>
      <c r="C304" s="7">
        <v>0.36200000000000004</v>
      </c>
      <c r="D304" s="2"/>
    </row>
    <row r="305" spans="1:4" x14ac:dyDescent="0.2">
      <c r="A305" s="2">
        <v>302</v>
      </c>
      <c r="B305" s="2" t="str">
        <f>"תיק הגשה חצי שקוף פוליו סגול"</f>
        <v>תיק הגשה חצי שקוף פוליו סגול</v>
      </c>
      <c r="C305" s="7">
        <v>0.36200000000000004</v>
      </c>
      <c r="D305" s="2"/>
    </row>
    <row r="306" spans="1:4" x14ac:dyDescent="0.2">
      <c r="A306" s="2">
        <v>303</v>
      </c>
      <c r="B306" s="2" t="str">
        <f>"תיק הגשה חצי שקוף פוליו כתום"</f>
        <v>תיק הגשה חצי שקוף פוליו כתום</v>
      </c>
      <c r="C306" s="7">
        <v>0.36200000000000004</v>
      </c>
      <c r="D306" s="2"/>
    </row>
    <row r="307" spans="1:4" x14ac:dyDescent="0.2">
      <c r="A307" s="2">
        <v>304</v>
      </c>
      <c r="B307" s="2" t="str">
        <f>"בריסטול A4 מנילה צבעוני"</f>
        <v>בריסטול A4 מנילה צבעוני</v>
      </c>
      <c r="C307" s="7">
        <v>11.656400000000001</v>
      </c>
      <c r="D307" s="2"/>
    </row>
    <row r="308" spans="1:4" x14ac:dyDescent="0.2">
      <c r="A308" s="2">
        <v>305</v>
      </c>
      <c r="B308" s="2" t="str">
        <f>"קלסר משרדי פליקן גב8 שחור אנגלית"</f>
        <v>קלסר משרדי פליקן גב8 שחור אנגלית</v>
      </c>
      <c r="C308" s="7">
        <v>5.3395000000000001</v>
      </c>
      <c r="D308" s="2"/>
    </row>
    <row r="309" spans="1:4" x14ac:dyDescent="0.2">
      <c r="A309" s="2">
        <v>306</v>
      </c>
      <c r="B309" s="2" t="str">
        <f>"קלסר משרדי פליקן גב 8 כחול אנגלית"</f>
        <v>קלסר משרדי פליקן גב 8 כחול אנגלית</v>
      </c>
      <c r="C309" s="7">
        <v>5.3395000000000001</v>
      </c>
      <c r="D309" s="2"/>
    </row>
    <row r="310" spans="1:4" x14ac:dyDescent="0.2">
      <c r="A310" s="2">
        <v>307</v>
      </c>
      <c r="B310" s="2" t="str">
        <f>"קלסר משרדי פליקן גב8 לבן אנגלית"</f>
        <v>קלסר משרדי פליקן גב8 לבן אנגלית</v>
      </c>
      <c r="C310" s="7">
        <v>5.3395000000000001</v>
      </c>
      <c r="D310" s="2"/>
    </row>
    <row r="311" spans="1:4" x14ac:dyDescent="0.2">
      <c r="A311" s="2">
        <v>308</v>
      </c>
      <c r="B311" s="2" t="str">
        <f>"קלסר משרדי פליקן גב8 אדום אנגלית"</f>
        <v>קלסר משרדי פליקן גב8 אדום אנגלית</v>
      </c>
      <c r="C311" s="7">
        <v>5.3395000000000001</v>
      </c>
      <c r="D311" s="2"/>
    </row>
    <row r="312" spans="1:4" x14ac:dyDescent="0.2">
      <c r="A312" s="2">
        <v>309</v>
      </c>
      <c r="B312" s="2" t="str">
        <f>"קלסר משרדי פליקן גב 8 צהוב אנגלית"</f>
        <v>קלסר משרדי פליקן גב 8 צהוב אנגלית</v>
      </c>
      <c r="C312" s="7">
        <v>5.3395000000000001</v>
      </c>
      <c r="D312" s="2"/>
    </row>
    <row r="313" spans="1:4" x14ac:dyDescent="0.2">
      <c r="A313" s="2">
        <v>310</v>
      </c>
      <c r="B313" s="2" t="str">
        <f>"קלסר משרדי פליקן גב 8 ירוק אנגלית"</f>
        <v>קלסר משרדי פליקן גב 8 ירוק אנגלית</v>
      </c>
      <c r="C313" s="7">
        <v>5.3395000000000001</v>
      </c>
      <c r="D313" s="2"/>
    </row>
    <row r="314" spans="1:4" x14ac:dyDescent="0.2">
      <c r="A314" s="2">
        <v>311</v>
      </c>
      <c r="B314" s="2" t="str">
        <f>"קלסר משרדי פליקן גב8 אפור אנגלית"</f>
        <v>קלסר משרדי פליקן גב8 אפור אנגלית</v>
      </c>
      <c r="C314" s="7">
        <v>5.3395000000000001</v>
      </c>
      <c r="D314" s="2"/>
    </row>
    <row r="315" spans="1:4" x14ac:dyDescent="0.2">
      <c r="A315" s="2">
        <v>312</v>
      </c>
      <c r="B315" s="2" t="str">
        <f>"קלסר משרדי פליקן גב5 שחור אנגלית"</f>
        <v>קלסר משרדי פליקן גב5 שחור אנגלית</v>
      </c>
      <c r="C315" s="7">
        <v>5.3395000000000001</v>
      </c>
      <c r="D315" s="2"/>
    </row>
    <row r="316" spans="1:4" x14ac:dyDescent="0.2">
      <c r="A316" s="2">
        <v>313</v>
      </c>
      <c r="B316" s="2" t="str">
        <f>"קלסר משרדי פליקן גב 5 כחול אנגלית"</f>
        <v>קלסר משרדי פליקן גב 5 כחול אנגלית</v>
      </c>
      <c r="C316" s="7">
        <v>5.3395000000000001</v>
      </c>
      <c r="D316" s="2"/>
    </row>
    <row r="317" spans="1:4" x14ac:dyDescent="0.2">
      <c r="A317" s="2">
        <v>314</v>
      </c>
      <c r="B317" s="2" t="str">
        <f>"קלסר משרדי פליקן גב 5 לבן אנגלית"</f>
        <v>קלסר משרדי פליקן גב 5 לבן אנגלית</v>
      </c>
      <c r="C317" s="7">
        <v>5.3395000000000001</v>
      </c>
      <c r="D317" s="2"/>
    </row>
    <row r="318" spans="1:4" x14ac:dyDescent="0.2">
      <c r="A318" s="2">
        <v>315</v>
      </c>
      <c r="B318" s="2" t="str">
        <f>"קלסר משרדי פליקן גב5 אדום אנגלית"</f>
        <v>קלסר משרדי פליקן גב5 אדום אנגלית</v>
      </c>
      <c r="C318" s="7">
        <v>5.3395000000000001</v>
      </c>
      <c r="D318" s="2"/>
    </row>
    <row r="319" spans="1:4" x14ac:dyDescent="0.2">
      <c r="A319" s="2">
        <v>316</v>
      </c>
      <c r="B319" s="2" t="str">
        <f>"קלסר משרדי פליקן גב5 ירוק אנגלית"</f>
        <v>קלסר משרדי פליקן גב5 ירוק אנגלית</v>
      </c>
      <c r="C319" s="7">
        <v>5.3395000000000001</v>
      </c>
      <c r="D319" s="2"/>
    </row>
    <row r="320" spans="1:4" x14ac:dyDescent="0.2">
      <c r="A320" s="2">
        <v>317</v>
      </c>
      <c r="B320" s="2" t="str">
        <f>"מעמד שולחני5 תאPS"</f>
        <v>מעמד שולחני5 תאPS</v>
      </c>
      <c r="C320" s="7">
        <v>122.175</v>
      </c>
      <c r="D320" s="2"/>
    </row>
    <row r="321" spans="1:4" x14ac:dyDescent="0.2">
      <c r="A321" s="2">
        <v>318</v>
      </c>
      <c r="B321" s="2" t="str">
        <f>"תיק אצבע - A4 אדום ( יחידה)*"</f>
        <v>תיק אצבע - A4 אדום ( יחידה)*</v>
      </c>
      <c r="C321" s="7">
        <v>0.56110000000000004</v>
      </c>
      <c r="D321" s="2"/>
    </row>
    <row r="322" spans="1:4" x14ac:dyDescent="0.2">
      <c r="A322" s="2">
        <v>319</v>
      </c>
      <c r="B322" s="2" t="str">
        <f>"תיק אצבע - A4 ירוק )  יחידה)"</f>
        <v>תיק אצבע - A4 ירוק )  יחידה)</v>
      </c>
      <c r="C322" s="7">
        <v>0.56110000000000004</v>
      </c>
      <c r="D322" s="2"/>
    </row>
    <row r="323" spans="1:4" x14ac:dyDescent="0.2">
      <c r="A323" s="2">
        <v>320</v>
      </c>
      <c r="B323" s="2" t="str">
        <f>"תיק אצבע -A4  כחול   יחידה"</f>
        <v>תיק אצבע -A4  כחול   יחידה</v>
      </c>
      <c r="C323" s="7">
        <v>0.56110000000000004</v>
      </c>
      <c r="D323" s="2"/>
    </row>
    <row r="324" spans="1:4" x14ac:dyDescent="0.2">
      <c r="A324" s="2">
        <v>321</v>
      </c>
      <c r="B324" s="2" t="str">
        <f>"תיק אצבע - A4 צהוב )  יחידה)"</f>
        <v>תיק אצבע - A4 צהוב )  יחידה)</v>
      </c>
      <c r="C324" s="7">
        <v>0.56110000000000004</v>
      </c>
      <c r="D324" s="2"/>
    </row>
    <row r="325" spans="1:4" x14ac:dyDescent="0.2">
      <c r="A325" s="2">
        <v>322</v>
      </c>
      <c r="B325" s="2" t="str">
        <f>"תיק אצבע - A4 שקוף )  יחידה)"</f>
        <v>תיק אצבע - A4 שקוף )  יחידה)</v>
      </c>
      <c r="C325" s="7">
        <v>0.56110000000000004</v>
      </c>
      <c r="D325" s="2"/>
    </row>
    <row r="326" spans="1:4" x14ac:dyDescent="0.2">
      <c r="A326" s="2">
        <v>323</v>
      </c>
      <c r="B326" s="2" t="str">
        <f>"תיק גומי שפיר פוליו גב2.5"</f>
        <v>תיק גומי שפיר פוליו גב2.5</v>
      </c>
      <c r="C326" s="7">
        <v>1.7195</v>
      </c>
      <c r="D326" s="2"/>
    </row>
    <row r="327" spans="1:4" x14ac:dyDescent="0.2">
      <c r="A327" s="2">
        <v>324</v>
      </c>
      <c r="B327" s="2" t="str">
        <f>"תיק גומי שפיר פוליו גב5"</f>
        <v>תיק גומי שפיר פוליו גב5</v>
      </c>
      <c r="C327" s="7">
        <v>2.2625000000000002</v>
      </c>
      <c r="D327" s="2"/>
    </row>
    <row r="328" spans="1:4" x14ac:dyDescent="0.2">
      <c r="A328" s="2">
        <v>325</v>
      </c>
      <c r="B328" s="2" t="str">
        <f>"זוג קופסאות לקטלוג מקרטון שחור"</f>
        <v>זוג קופסאות לקטלוג מקרטון שחור</v>
      </c>
      <c r="C328" s="7">
        <v>9.4120000000000008</v>
      </c>
      <c r="D328" s="2"/>
    </row>
    <row r="329" spans="1:4" x14ac:dyDescent="0.2">
      <c r="A329" s="2">
        <v>326</v>
      </c>
      <c r="B329" s="2" t="str">
        <f>"בריסטול נייר 100יח' שחור A4"</f>
        <v>בריסטול נייר 100יח' שחור A4</v>
      </c>
      <c r="C329" s="7">
        <v>13.937000000000001</v>
      </c>
      <c r="D329" s="2"/>
    </row>
    <row r="330" spans="1:4" x14ac:dyDescent="0.2">
      <c r="A330" s="2">
        <v>327</v>
      </c>
      <c r="B330" s="2" t="str">
        <f>"קלסר משרדי פליקן גב8 סגול"</f>
        <v>קלסר משרדי פליקן גב8 סגול</v>
      </c>
      <c r="C330" s="7">
        <v>5.3395000000000001</v>
      </c>
      <c r="D330" s="2"/>
    </row>
    <row r="331" spans="1:4" x14ac:dyDescent="0.2">
      <c r="A331" s="2">
        <v>328</v>
      </c>
      <c r="B331" s="2" t="str">
        <f>"קלסר משרדי פנטל /פליקן גב5 ורוד"</f>
        <v>קלסר משרדי פנטל /פליקן גב5 ורוד</v>
      </c>
      <c r="C331" s="7">
        <v>5.3395000000000001</v>
      </c>
      <c r="D331" s="2"/>
    </row>
    <row r="332" spans="1:4" x14ac:dyDescent="0.2">
      <c r="A332" s="2">
        <v>329</v>
      </c>
      <c r="B332" s="2" t="str">
        <f>"קלסר משרדי פנטל גב5 טורקיז"</f>
        <v>קלסר משרדי פנטל גב5 טורקיז</v>
      </c>
      <c r="C332" s="7">
        <v>5.3395000000000001</v>
      </c>
      <c r="D332" s="2"/>
    </row>
    <row r="333" spans="1:4" x14ac:dyDescent="0.2">
      <c r="A333" s="2">
        <v>330</v>
      </c>
      <c r="B333" s="2" t="str">
        <f>"תיק קרטון לארכיון גב 8 שרוך+גומי"</f>
        <v>תיק קרטון לארכיון גב 8 שרוך+גומי</v>
      </c>
      <c r="C333" s="7">
        <v>5.3847500000000004</v>
      </c>
      <c r="D333" s="2"/>
    </row>
    <row r="334" spans="1:4" x14ac:dyDescent="0.2">
      <c r="A334" s="2">
        <v>331</v>
      </c>
      <c r="B334" s="2" t="str">
        <f>"הרמוניקה פלסטיק 31 F תאים 102003 מעורב צבעים"</f>
        <v>הרמוניקה פלסטיק 31 F תאים 102003 מעורב צבעים</v>
      </c>
      <c r="C334" s="7">
        <v>26.245000000000001</v>
      </c>
      <c r="D334" s="2"/>
    </row>
    <row r="335" spans="1:4" x14ac:dyDescent="0.2">
      <c r="A335" s="2">
        <v>332</v>
      </c>
      <c r="B335" s="2" t="str">
        <f>"הרמוניקה פלסטיק 12 F תאים 103007 מעורב צבעים"</f>
        <v>הרמוניקה פלסטיק 12 F תאים 103007 מעורב צבעים</v>
      </c>
      <c r="C335" s="7">
        <v>12.67</v>
      </c>
      <c r="D335" s="2"/>
    </row>
    <row r="336" spans="1:4" x14ac:dyDescent="0.2">
      <c r="A336" s="2">
        <v>333</v>
      </c>
      <c r="B336" s="2" t="str">
        <f>"הרמוניקה פלסטיק 12 A4 תאים 103009 מעורב צבעים"</f>
        <v>הרמוניקה פלסטיק 12 A4 תאים 103009 מעורב צבעים</v>
      </c>
      <c r="C336" s="7">
        <v>12.67</v>
      </c>
      <c r="D336" s="2"/>
    </row>
    <row r="337" spans="1:4" x14ac:dyDescent="0.2">
      <c r="A337" s="2">
        <v>334</v>
      </c>
      <c r="B337" s="2" t="str">
        <f>"שמרדף 50 A4 מיקרון (מארז -50  יח'("</f>
        <v>שמרדף 50 A4 מיקרון (מארז -50  יח'(</v>
      </c>
      <c r="C337" s="7">
        <v>4.0724999999999998</v>
      </c>
      <c r="D337" s="2"/>
    </row>
    <row r="338" spans="1:4" x14ac:dyDescent="0.2">
      <c r="A338" s="2">
        <v>335</v>
      </c>
      <c r="B338" s="2" t="str">
        <f>"שמרדף 75 A4 מיקרון (מארז -25  יח'("</f>
        <v>שמרדף 75 A4 מיקרון (מארז -25  יח'(</v>
      </c>
      <c r="C338" s="7">
        <v>4.9775</v>
      </c>
      <c r="D338" s="2"/>
    </row>
    <row r="339" spans="1:4" x14ac:dyDescent="0.2">
      <c r="A339" s="2">
        <v>336</v>
      </c>
      <c r="B339" s="2" t="str">
        <f>"שמרדף 100 A4 מיקרון (מארז -25  יח'("</f>
        <v>שמרדף 100 A4 מיקרון (מארז -25  יח'(</v>
      </c>
      <c r="C339" s="7">
        <v>6.0001499999999997</v>
      </c>
      <c r="D339" s="2"/>
    </row>
    <row r="340" spans="1:4" x14ac:dyDescent="0.2">
      <c r="A340" s="2">
        <v>337</v>
      </c>
      <c r="B340" s="2" t="str">
        <f>"שמרדף פוליו 100 מיקרון (מארז -50 יח'("</f>
        <v>שמרדף פוליו 100 מיקרון (מארז -50 יח'(</v>
      </c>
      <c r="C340" s="7">
        <v>8.9595000000000002</v>
      </c>
      <c r="D340" s="2"/>
    </row>
    <row r="341" spans="1:4" x14ac:dyDescent="0.2">
      <c r="A341" s="2">
        <v>338</v>
      </c>
      <c r="B341" s="2" t="str">
        <f>"שמרדף 100 A4 מיקרון (מארז -50  יח'("</f>
        <v>שמרדף 100 A4 מיקרון (מארז -50  יח'(</v>
      </c>
      <c r="C341" s="7">
        <v>9.5024999999999995</v>
      </c>
      <c r="D341" s="2"/>
    </row>
    <row r="342" spans="1:4" x14ac:dyDescent="0.2">
      <c r="A342" s="2">
        <v>339</v>
      </c>
      <c r="B342" s="2" t="str">
        <f>"שמרדף 75 A4 מיקרון (מארז -50  יח'("</f>
        <v>שמרדף 75 A4 מיקרון (מארז -50  יח'(</v>
      </c>
      <c r="C342" s="7">
        <v>8.0545000000000009</v>
      </c>
      <c r="D342" s="2"/>
    </row>
    <row r="343" spans="1:4" x14ac:dyDescent="0.2">
      <c r="A343" s="2">
        <v>340</v>
      </c>
      <c r="B343" s="2" t="str">
        <f>"קלסר קרטון משרדי גב8 ס''''מ עברית"</f>
        <v>קלסר קרטון משרדי גב8 ס''''מ עברית</v>
      </c>
      <c r="C343" s="7">
        <v>3.4842500000000003</v>
      </c>
      <c r="D343" s="2"/>
    </row>
    <row r="344" spans="1:4" x14ac:dyDescent="0.2">
      <c r="A344" s="2">
        <v>341</v>
      </c>
      <c r="B344" s="2" t="str">
        <f>"דף לכריכה דמוי עור אדום (חב')"</f>
        <v>דף לכריכה דמוי עור אדום (חב')</v>
      </c>
      <c r="C344" s="7">
        <v>26.245000000000001</v>
      </c>
      <c r="D344" s="2"/>
    </row>
    <row r="345" spans="1:4" x14ac:dyDescent="0.2">
      <c r="A345" s="2">
        <v>342</v>
      </c>
      <c r="B345" s="2" t="str">
        <f>"טריפלE דיאגונלי מעושן מפל"</f>
        <v>טריפלE דיאגונלי מעושן מפל</v>
      </c>
      <c r="C345" s="7">
        <v>3.9820000000000007</v>
      </c>
      <c r="D345" s="2"/>
    </row>
    <row r="346" spans="1:4" x14ac:dyDescent="0.2">
      <c r="A346" s="2">
        <v>343</v>
      </c>
      <c r="B346" s="2" t="str">
        <f>"טריפל E דיאגונלי שקוף מפל"</f>
        <v>טריפל E דיאגונלי שקוף מפל</v>
      </c>
      <c r="C346" s="7">
        <v>3.9820000000000007</v>
      </c>
      <c r="D346" s="2"/>
    </row>
    <row r="347" spans="1:4" x14ac:dyDescent="0.2">
      <c r="A347" s="2">
        <v>344</v>
      </c>
      <c r="B347" s="2" t="str">
        <f>"חוצץ מנילה 1/22 פוליו"</f>
        <v>חוצץ מנילה 1/22 פוליו</v>
      </c>
      <c r="C347" s="7">
        <v>3.3575500000000003</v>
      </c>
      <c r="D347" s="2"/>
    </row>
    <row r="348" spans="1:4" x14ac:dyDescent="0.2">
      <c r="A348" s="2">
        <v>345</v>
      </c>
      <c r="B348" s="2" t="str">
        <f>"סט2 מגשים מודולרי - שקוף"</f>
        <v>סט2 מגשים מודולרי - שקוף</v>
      </c>
      <c r="C348" s="7">
        <v>24.3445</v>
      </c>
      <c r="D348" s="2"/>
    </row>
    <row r="349" spans="1:4" x14ac:dyDescent="0.2">
      <c r="A349" s="2">
        <v>346</v>
      </c>
      <c r="B349" s="2" t="str">
        <f>"שמרדף)   A4 חב ) מידה30 - 24*30 מיקרון"</f>
        <v>שמרדף)   A4 חב ) מידה30 - 24*30 מיקרון</v>
      </c>
      <c r="C349" s="7">
        <v>9.3757999999999999</v>
      </c>
      <c r="D349" s="2"/>
    </row>
    <row r="350" spans="1:4" x14ac:dyDescent="0.2">
      <c r="A350" s="2">
        <v>347</v>
      </c>
      <c r="B350" s="2" t="str">
        <f>"תיק שתי טבעות P.O מהודר ורוד - אקסלוסיב"</f>
        <v>תיק שתי טבעות P.O מהודר ורוד - אקסלוסיב</v>
      </c>
      <c r="C350" s="7">
        <v>4.0724999999999998</v>
      </c>
      <c r="D350" s="2"/>
    </row>
    <row r="351" spans="1:4" x14ac:dyDescent="0.2">
      <c r="A351" s="2">
        <v>348</v>
      </c>
      <c r="B351" s="2" t="str">
        <f>"דף לכריכה דמוי עור כחול כהה (חב')C230-33"</f>
        <v>דף לכריכה דמוי עור כחול כהה (חב')C230-33</v>
      </c>
      <c r="C351" s="7">
        <v>26.245000000000001</v>
      </c>
      <c r="D351" s="2"/>
    </row>
    <row r="352" spans="1:4" x14ac:dyDescent="0.2">
      <c r="A352" s="2">
        <v>349</v>
      </c>
      <c r="B352" s="2" t="str">
        <f>"דף לכריכה דמוי עור שחור (חב' - 100יחידות)"</f>
        <v>דף לכריכה דמוי עור שחור (חב' - 100יחידות)</v>
      </c>
      <c r="C352" s="7">
        <v>26.245000000000001</v>
      </c>
      <c r="D352" s="2"/>
    </row>
    <row r="353" spans="1:4" x14ac:dyDescent="0.2">
      <c r="A353" s="2">
        <v>350</v>
      </c>
      <c r="B353" s="2" t="str">
        <f>"דף לכריכה דמוי עור חום (חב')"</f>
        <v>דף לכריכה דמוי עור חום (חב')</v>
      </c>
      <c r="C353" s="7">
        <v>26.245000000000001</v>
      </c>
      <c r="D353" s="2"/>
    </row>
    <row r="354" spans="1:4" x14ac:dyDescent="0.2">
      <c r="A354" s="2">
        <v>351</v>
      </c>
      <c r="B354" s="2" t="str">
        <f>"דף לכריכה דמוי עור צהוב (חב')"</f>
        <v>דף לכריכה דמוי עור צהוב (חב')</v>
      </c>
      <c r="C354" s="7">
        <v>26.245000000000001</v>
      </c>
      <c r="D354" s="2"/>
    </row>
    <row r="355" spans="1:4" x14ac:dyDescent="0.2">
      <c r="A355" s="2">
        <v>352</v>
      </c>
      <c r="B355" s="2" t="str">
        <f>"מכונת ספירלה דגם C21D עד 500 דף (ניקוב עד 25 דף)"</f>
        <v>מכונת ספירלה דגם C21D עד 500 דף (ניקוב עד 25 דף)</v>
      </c>
      <c r="C355" s="7">
        <v>497.75</v>
      </c>
      <c r="D355" s="2"/>
    </row>
    <row r="356" spans="1:4" x14ac:dyDescent="0.2">
      <c r="A356" s="2">
        <v>353</v>
      </c>
      <c r="B356" s="2" t="str">
        <f>"חוצצים פוליו מנילה חבילה צבעונית"</f>
        <v>חוצצים פוליו מנילה חבילה צבעונית</v>
      </c>
      <c r="C356" s="7">
        <v>11.68355</v>
      </c>
      <c r="D356" s="2"/>
    </row>
    <row r="357" spans="1:4" x14ac:dyDescent="0.2">
      <c r="A357" s="2">
        <v>354</v>
      </c>
      <c r="B357" s="2" t="str">
        <f>"קלסר משרדי פנטל/פליקן גב 8 תכלת"</f>
        <v>קלסר משרדי פנטל/פליקן גב 8 תכלת</v>
      </c>
      <c r="C357" s="7">
        <v>5.3395000000000001</v>
      </c>
      <c r="D357" s="2"/>
    </row>
    <row r="358" spans="1:4" x14ac:dyDescent="0.2">
      <c r="A358" s="2">
        <v>355</v>
      </c>
      <c r="B358" s="2" t="str">
        <f>"דף לכריכה דמוי עור ירוק (חב')"</f>
        <v>דף לכריכה דמוי עור ירוק (חב')</v>
      </c>
      <c r="C358" s="7">
        <v>26.245000000000001</v>
      </c>
      <c r="D358" s="2"/>
    </row>
    <row r="359" spans="1:4" x14ac:dyDescent="0.2">
      <c r="A359" s="2">
        <v>356</v>
      </c>
      <c r="B359" s="2" t="str">
        <f>"דף לכריכה דמוי עור לבן (חב')"</f>
        <v>דף לכריכה דמוי עור לבן (חב')</v>
      </c>
      <c r="C359" s="7">
        <v>26.245000000000001</v>
      </c>
      <c r="D359" s="2"/>
    </row>
    <row r="360" spans="1:4" x14ac:dyDescent="0.2">
      <c r="A360" s="2">
        <v>357</v>
      </c>
      <c r="B360" s="2" t="str">
        <f>"אלבום כרטיסי ביקור 400 A4 כיסים CH003"</f>
        <v>אלבום כרטיסי ביקור 400 A4 כיסים CH003</v>
      </c>
      <c r="C360" s="7">
        <v>25.249500000000001</v>
      </c>
      <c r="D360" s="2"/>
    </row>
    <row r="361" spans="1:4" x14ac:dyDescent="0.2">
      <c r="A361" s="2">
        <v>358</v>
      </c>
      <c r="B361" s="2" t="str">
        <f>"תיק טבעות משולב דיאגונלי שחור -מפל"</f>
        <v>תיק טבעות משולב דיאגונלי שחור -מפל</v>
      </c>
      <c r="C361" s="7">
        <v>3.8010000000000002</v>
      </c>
      <c r="D361" s="2"/>
    </row>
    <row r="362" spans="1:4" x14ac:dyDescent="0.2">
      <c r="A362" s="2">
        <v>359</v>
      </c>
      <c r="B362" s="2" t="str">
        <f>"תיק טבעות משולב דיאגונלי אדמדם- מפל"</f>
        <v>תיק טבעות משולב דיאגונלי אדמדם- מפל</v>
      </c>
      <c r="C362" s="7">
        <v>4.3440000000000003</v>
      </c>
      <c r="D362" s="2"/>
    </row>
    <row r="363" spans="1:4" x14ac:dyDescent="0.2">
      <c r="A363" s="2">
        <v>360</v>
      </c>
      <c r="B363" s="2" t="str">
        <f>"תיק טבעות משולב דיאגונלי טורקיז- מפל"</f>
        <v>תיק טבעות משולב דיאגונלי טורקיז- מפל</v>
      </c>
      <c r="C363" s="7">
        <v>4.3440000000000003</v>
      </c>
      <c r="D363" s="2"/>
    </row>
    <row r="364" spans="1:4" x14ac:dyDescent="0.2">
      <c r="A364" s="2">
        <v>361</v>
      </c>
      <c r="B364" s="2" t="str">
        <f>"תיק טבעות משולב דיאגונלי כחלחל -מפל"</f>
        <v>תיק טבעות משולב דיאגונלי כחלחל -מפל</v>
      </c>
      <c r="C364" s="7">
        <v>3.8010000000000002</v>
      </c>
      <c r="D364" s="2"/>
    </row>
    <row r="365" spans="1:4" x14ac:dyDescent="0.2">
      <c r="A365" s="2">
        <v>362</v>
      </c>
      <c r="B365" s="2" t="str">
        <f>"טריפלE משולב דיאגונלי אדום מפל"</f>
        <v>טריפלE משולב דיאגונלי אדום מפל</v>
      </c>
      <c r="C365" s="7">
        <v>3.9820000000000007</v>
      </c>
      <c r="D365" s="2"/>
    </row>
    <row r="366" spans="1:4" x14ac:dyDescent="0.2">
      <c r="A366" s="2">
        <v>363</v>
      </c>
      <c r="B366" s="2" t="str">
        <f>"אלסטיק בוקס דיאגונלי שקוף מפל"</f>
        <v>אלסטיק בוקס דיאגונלי שקוף מפל</v>
      </c>
      <c r="C366" s="7">
        <v>6.7875000000000005</v>
      </c>
      <c r="D366" s="2"/>
    </row>
    <row r="367" spans="1:4" x14ac:dyDescent="0.2">
      <c r="A367" s="2">
        <v>364</v>
      </c>
      <c r="B367" s="2" t="str">
        <f>"אלסטיק בוקס דיאגונלי כסף מפל"</f>
        <v>אלסטיק בוקס דיאגונלי כסף מפל</v>
      </c>
      <c r="C367" s="7">
        <v>10.0998</v>
      </c>
      <c r="D367" s="2"/>
    </row>
    <row r="368" spans="1:4" x14ac:dyDescent="0.2">
      <c r="A368" s="2">
        <v>365</v>
      </c>
      <c r="B368" s="2" t="str">
        <f>"קופסא לקטלוגים מקרטון ירוק 2 יח"</f>
        <v>קופסא לקטלוגים מקרטון ירוק 2 יח</v>
      </c>
      <c r="C368" s="7">
        <v>11.3125</v>
      </c>
      <c r="D368" s="2"/>
    </row>
    <row r="369" spans="1:4" x14ac:dyDescent="0.2">
      <c r="A369" s="2">
        <v>366</v>
      </c>
      <c r="B369" s="2" t="str">
        <f>"קופסא לקטלוגים מקרטון כחול2 יח"</f>
        <v>קופסא לקטלוגים מקרטון כחול2 יח</v>
      </c>
      <c r="C369" s="7">
        <v>11.3125</v>
      </c>
      <c r="D369" s="2"/>
    </row>
    <row r="370" spans="1:4" x14ac:dyDescent="0.2">
      <c r="A370" s="2">
        <v>367</v>
      </c>
      <c r="B370" s="2" t="str">
        <f>"קופסא לקטלוגים מקרטון כתום2 יח"</f>
        <v>קופסא לקטלוגים מקרטון כתום2 יח</v>
      </c>
      <c r="C370" s="7">
        <v>12.280850000000001</v>
      </c>
      <c r="D370" s="2"/>
    </row>
    <row r="371" spans="1:4" x14ac:dyDescent="0.2">
      <c r="A371" s="2">
        <v>368</v>
      </c>
      <c r="B371" s="2" t="str">
        <f>"קופסא לקטלוגים מקרטון אדום2 יח"</f>
        <v>קופסא לקטלוגים מקרטון אדום2 יח</v>
      </c>
      <c r="C371" s="7">
        <v>12.280850000000001</v>
      </c>
      <c r="D371" s="2"/>
    </row>
    <row r="372" spans="1:4" x14ac:dyDescent="0.2">
      <c r="A372" s="2">
        <v>369</v>
      </c>
      <c r="B372" s="2" t="str">
        <f>"תיק מהנדס יחיד פלסטיק-אקריל- שקוף / תכלת / ירוק"</f>
        <v>תיק מהנדס יחיד פלסטיק-אקריל- שקוף / תכלת / ירוק</v>
      </c>
      <c r="C372" s="7">
        <v>8.5975000000000001</v>
      </c>
      <c r="D372" s="2"/>
    </row>
    <row r="373" spans="1:4" x14ac:dyDescent="0.2">
      <c r="A373" s="2">
        <v>370</v>
      </c>
      <c r="B373" s="2" t="str">
        <f>"תיק צמדן - מעורב צבעים ( מארז 10 יח'("</f>
        <v>תיק צמדן - מעורב צבעים ( מארז 10 יח'(</v>
      </c>
      <c r="C373" s="7">
        <v>4.9775</v>
      </c>
      <c r="D373" s="2"/>
    </row>
    <row r="374" spans="1:4" x14ac:dyDescent="0.2">
      <c r="A374" s="2">
        <v>371</v>
      </c>
      <c r="B374" s="2" t="str">
        <f>"תיק תליה -101 משובץ-סופרפייל - טורקיז 25 יח"</f>
        <v>תיק תליה -101 משובץ-סופרפייל - טורקיז 25 יח</v>
      </c>
      <c r="C374" s="7">
        <v>50.046500000000002</v>
      </c>
      <c r="D374" s="2"/>
    </row>
    <row r="375" spans="1:4" x14ac:dyDescent="0.2">
      <c r="A375" s="2">
        <v>372</v>
      </c>
      <c r="B375" s="2" t="str">
        <f>"תיק תליה -101 משובץ-סופרפייל - שחור 25 יח"</f>
        <v>תיק תליה -101 משובץ-סופרפייל - שחור 25 יח</v>
      </c>
      <c r="C375" s="7">
        <v>50.046500000000002</v>
      </c>
      <c r="D375" s="2"/>
    </row>
    <row r="376" spans="1:4" x14ac:dyDescent="0.2">
      <c r="A376" s="2">
        <v>373</v>
      </c>
      <c r="B376" s="2" t="str">
        <f>"תיק תליה-101 משובץ-סופרפייל - סגול (25 יח')"</f>
        <v>תיק תליה-101 משובץ-סופרפייל - סגול (25 יח')</v>
      </c>
      <c r="C376" s="7">
        <v>50.046500000000002</v>
      </c>
      <c r="D376" s="2"/>
    </row>
    <row r="377" spans="1:4" x14ac:dyDescent="0.2">
      <c r="A377" s="2">
        <v>374</v>
      </c>
      <c r="B377" s="2" t="str">
        <f>"תיק תליה -101 משובץ-סופרפייל - ורוד 25 יח"</f>
        <v>תיק תליה -101 משובץ-סופרפייל - ורוד 25 יח</v>
      </c>
      <c r="C377" s="7">
        <v>50.046500000000002</v>
      </c>
      <c r="D377" s="2"/>
    </row>
    <row r="378" spans="1:4" x14ac:dyDescent="0.2">
      <c r="A378" s="2">
        <v>375</v>
      </c>
      <c r="B378" s="2" t="str">
        <f>"תיק תליה -101 משובץ-סופרפייל - אפור 25 יח"</f>
        <v>תיק תליה -101 משובץ-סופרפייל - אפור 25 יח</v>
      </c>
      <c r="C378" s="7">
        <v>50.046500000000002</v>
      </c>
      <c r="D378" s="2"/>
    </row>
    <row r="379" spans="1:4" x14ac:dyDescent="0.2">
      <c r="A379" s="2">
        <v>376</v>
      </c>
      <c r="B379" s="2" t="str">
        <f>"תיק מעטפה פלסטיק תיק תק- שקוף"</f>
        <v>תיק מעטפה פלסטיק תיק תק- שקוף</v>
      </c>
      <c r="C379" s="7">
        <v>1.49325</v>
      </c>
      <c r="D379" s="2"/>
    </row>
    <row r="380" spans="1:4" x14ac:dyDescent="0.2">
      <c r="A380" s="2">
        <v>377</v>
      </c>
      <c r="B380" s="2" t="str">
        <f>"קלסר משרדי פנטל/ פליקן גב 5 תכלת"</f>
        <v>קלסר משרדי פנטל/ פליקן גב 5 תכלת</v>
      </c>
      <c r="C380" s="7">
        <v>5.3395000000000001</v>
      </c>
      <c r="D380" s="2"/>
    </row>
    <row r="381" spans="1:4" x14ac:dyDescent="0.2">
      <c r="A381" s="2">
        <v>378</v>
      </c>
      <c r="B381" s="2" t="str">
        <f>"תיק תליה -101 משובץ-סופרפייל - כתום 25 יח"</f>
        <v>תיק תליה -101 משובץ-סופרפייל - כתום 25 יח</v>
      </c>
      <c r="C381" s="7">
        <v>50.046500000000002</v>
      </c>
      <c r="D381" s="2"/>
    </row>
    <row r="382" spans="1:4" x14ac:dyDescent="0.2">
      <c r="A382" s="2">
        <v>379</v>
      </c>
      <c r="B382" s="2" t="str">
        <f>"תיק תליה-101 משובץ-סופרפייל - צהוב (25 יח')"</f>
        <v>תיק תליה-101 משובץ-סופרפייל - צהוב (25 יח')</v>
      </c>
      <c r="C382" s="7">
        <v>50.046500000000002</v>
      </c>
      <c r="D382" s="2"/>
    </row>
    <row r="383" spans="1:4" x14ac:dyDescent="0.2">
      <c r="A383" s="2">
        <v>380</v>
      </c>
      <c r="B383" s="2" t="str">
        <f>"תיק תליה-101 משובץ-סופרפייל - כחול (25 יח')"</f>
        <v>תיק תליה-101 משובץ-סופרפייל - כחול (25 יח')</v>
      </c>
      <c r="C383" s="7">
        <v>50.046500000000002</v>
      </c>
      <c r="D383" s="2"/>
    </row>
    <row r="384" spans="1:4" x14ac:dyDescent="0.2">
      <c r="A384" s="2">
        <v>381</v>
      </c>
      <c r="B384" s="2" t="str">
        <f>"תיק תליה -101 משובץ-סופרפייל - אדום (25  יח')"</f>
        <v>תיק תליה -101 משובץ-סופרפייל - אדום (25  יח')</v>
      </c>
      <c r="C384" s="7">
        <v>50.046500000000002</v>
      </c>
      <c r="D384" s="2"/>
    </row>
    <row r="385" spans="1:4" x14ac:dyDescent="0.2">
      <c r="A385" s="2">
        <v>382</v>
      </c>
      <c r="B385" s="2" t="str">
        <f>"תיק תליה-101 משובץ-סופרפייל - ירוק (25 יח')"</f>
        <v>תיק תליה-101 משובץ-סופרפייל - ירוק (25 יח')</v>
      </c>
      <c r="C385" s="7">
        <v>50.046500000000002</v>
      </c>
      <c r="D385" s="2"/>
    </row>
    <row r="386" spans="1:4" x14ac:dyDescent="0.2">
      <c r="A386" s="2">
        <v>383</v>
      </c>
      <c r="B386" s="2" t="str">
        <f>"תיק תליה -401 חלק-סופרפייל - ורוד 25 יח"</f>
        <v>תיק תליה -401 חלק-סופרפייל - ורוד 25 יח</v>
      </c>
      <c r="C386" s="7">
        <v>76.924999999999997</v>
      </c>
      <c r="D386" s="2"/>
    </row>
    <row r="387" spans="1:4" x14ac:dyDescent="0.2">
      <c r="A387" s="2">
        <v>384</v>
      </c>
      <c r="B387" s="2" t="str">
        <f>"תיק תליה -401 חלק-סופרפייל - צהוב 25 יח"</f>
        <v>תיק תליה -401 חלק-סופרפייל - צהוב 25 יח</v>
      </c>
      <c r="C387" s="7">
        <v>76.924999999999997</v>
      </c>
      <c r="D387" s="2"/>
    </row>
    <row r="388" spans="1:4" x14ac:dyDescent="0.2">
      <c r="A388" s="2">
        <v>385</v>
      </c>
      <c r="B388" s="2" t="str">
        <f>"תיק תליה - 401 חלק-סופרפייל - ירוק  25 יח"</f>
        <v>תיק תליה - 401 חלק-סופרפייל - ירוק  25 יח</v>
      </c>
      <c r="C388" s="7">
        <v>76.924999999999997</v>
      </c>
      <c r="D388" s="2"/>
    </row>
    <row r="389" spans="1:4" x14ac:dyDescent="0.2">
      <c r="A389" s="2">
        <v>386</v>
      </c>
      <c r="B389" s="2" t="str">
        <f>"תיק תליה -401 חלק-סופרפייל - כחול (25  יח')*"</f>
        <v>תיק תליה -401 חלק-סופרפייל - כחול (25  יח')*</v>
      </c>
      <c r="C389" s="7">
        <v>76.924999999999997</v>
      </c>
      <c r="D389" s="2"/>
    </row>
    <row r="390" spans="1:4" x14ac:dyDescent="0.2">
      <c r="A390" s="2">
        <v>387</v>
      </c>
      <c r="B390" s="2" t="str">
        <f>"תיק תליה - 401 חלק-סופרפייל - כתום  25 יח"</f>
        <v>תיק תליה - 401 חלק-סופרפייל - כתום  25 יח</v>
      </c>
      <c r="C390" s="7">
        <v>76.924999999999997</v>
      </c>
      <c r="D390" s="2"/>
    </row>
    <row r="391" spans="1:4" x14ac:dyDescent="0.2">
      <c r="A391" s="2">
        <v>388</v>
      </c>
      <c r="B391" s="2" t="str">
        <f>"תיק תליה-401 משובץ-סופרפייל - כתום (25 יח')"</f>
        <v>תיק תליה-401 משובץ-סופרפייל - כתום (25 יח')</v>
      </c>
      <c r="C391" s="7">
        <v>76.924999999999997</v>
      </c>
      <c r="D391" s="2"/>
    </row>
    <row r="392" spans="1:4" x14ac:dyDescent="0.2">
      <c r="A392" s="2">
        <v>389</v>
      </c>
      <c r="B392" s="2" t="str">
        <f>"תיק תליה-401 משובץ-סופרפייל - צהוב (25 יח')"</f>
        <v>תיק תליה-401 משובץ-סופרפייל - צהוב (25 יח')</v>
      </c>
      <c r="C392" s="7">
        <v>76.924999999999997</v>
      </c>
      <c r="D392" s="2"/>
    </row>
    <row r="393" spans="1:4" x14ac:dyDescent="0.2">
      <c r="A393" s="2">
        <v>390</v>
      </c>
      <c r="B393" s="2" t="str">
        <f>"תיק תליה- 401 משובץ-סופרפייל - כחול (25 יח')"</f>
        <v>תיק תליה- 401 משובץ-סופרפייל - כחול (25 יח')</v>
      </c>
      <c r="C393" s="7">
        <v>76.924999999999997</v>
      </c>
      <c r="D393" s="2"/>
    </row>
    <row r="394" spans="1:4" x14ac:dyDescent="0.2">
      <c r="A394" s="2">
        <v>391</v>
      </c>
      <c r="B394" s="2" t="str">
        <f>"תיק תליה-401 משובץ-סופרפייל - אדום (25 יח')"</f>
        <v>תיק תליה-401 משובץ-סופרפייל - אדום (25 יח')</v>
      </c>
      <c r="C394" s="7">
        <v>76.924999999999997</v>
      </c>
      <c r="D394" s="2"/>
    </row>
    <row r="395" spans="1:4" x14ac:dyDescent="0.2">
      <c r="A395" s="2">
        <v>392</v>
      </c>
      <c r="B395" s="2" t="str">
        <f>"תיק תליה - 401 משובץ-סופרפייל - ורוד  25 יח"</f>
        <v>תיק תליה - 401 משובץ-סופרפייל - ורוד  25 יח</v>
      </c>
      <c r="C395" s="7">
        <v>76.924999999999997</v>
      </c>
      <c r="D395" s="2"/>
    </row>
    <row r="396" spans="1:4" x14ac:dyDescent="0.2">
      <c r="A396" s="2">
        <v>393</v>
      </c>
      <c r="B396" s="2" t="str">
        <f>"תיק תליה-401 משובץ-סופרפייל - ירוק (25 יח')"</f>
        <v>תיק תליה-401 משובץ-סופרפייל - ירוק (25 יח')</v>
      </c>
      <c r="C396" s="7">
        <v>76.924999999999997</v>
      </c>
      <c r="D396" s="2"/>
    </row>
    <row r="397" spans="1:4" x14ac:dyDescent="0.2">
      <c r="A397" s="2">
        <v>394</v>
      </c>
      <c r="B397" s="2" t="str">
        <f>"תיק שתי טבעות פוליו בורדו אטרקטיב"</f>
        <v>תיק שתי טבעות פוליו בורדו אטרקטיב</v>
      </c>
      <c r="C397" s="7">
        <v>4.0724999999999998</v>
      </c>
      <c r="D397" s="2"/>
    </row>
    <row r="398" spans="1:4" x14ac:dyDescent="0.2">
      <c r="A398" s="2">
        <v>395</v>
      </c>
      <c r="B398" s="2" t="str">
        <f>"תיק צמדן - ירוק*"</f>
        <v>תיק צמדן - ירוק*</v>
      </c>
      <c r="C398" s="7">
        <v>1.7195</v>
      </c>
      <c r="D398" s="2"/>
    </row>
    <row r="399" spans="1:4" x14ac:dyDescent="0.2">
      <c r="A399" s="2">
        <v>396</v>
      </c>
      <c r="B399" s="2" t="str">
        <f>"תיק צמדן - לבן"</f>
        <v>תיק צמדן - לבן</v>
      </c>
      <c r="C399" s="7">
        <v>1.7195</v>
      </c>
      <c r="D399" s="2"/>
    </row>
    <row r="400" spans="1:4" x14ac:dyDescent="0.2">
      <c r="A400" s="2">
        <v>397</v>
      </c>
      <c r="B400" s="2" t="str">
        <f>"תיק צמדן - כחול"</f>
        <v>תיק צמדן - כחול</v>
      </c>
      <c r="C400" s="7">
        <v>1.7195</v>
      </c>
      <c r="D400" s="2"/>
    </row>
    <row r="401" spans="1:4" x14ac:dyDescent="0.2">
      <c r="A401" s="2">
        <v>398</v>
      </c>
      <c r="B401" s="2" t="str">
        <f>"תיק צמדן - שקוף"</f>
        <v>תיק צמדן - שקוף</v>
      </c>
      <c r="C401" s="7">
        <v>1.7195</v>
      </c>
      <c r="D401" s="2"/>
    </row>
    <row r="402" spans="1:4" x14ac:dyDescent="0.2">
      <c r="A402" s="2">
        <v>399</v>
      </c>
      <c r="B402" s="2" t="str">
        <f>"תיק צמדן - צהוב"</f>
        <v>תיק צמדן - צהוב</v>
      </c>
      <c r="C402" s="7">
        <v>1.7195</v>
      </c>
      <c r="D402" s="2"/>
    </row>
    <row r="403" spans="1:4" x14ac:dyDescent="0.2">
      <c r="A403" s="2">
        <v>400</v>
      </c>
      <c r="B403" s="2" t="str">
        <f>"תיק צמדן - ורוד"</f>
        <v>תיק צמדן - ורוד</v>
      </c>
      <c r="C403" s="7">
        <v>1.7195</v>
      </c>
      <c r="D403" s="2"/>
    </row>
    <row r="404" spans="1:4" x14ac:dyDescent="0.2">
      <c r="A404" s="2">
        <v>401</v>
      </c>
      <c r="B404" s="2" t="str">
        <f>"תיק צמדן - אדום"</f>
        <v>תיק צמדן - אדום</v>
      </c>
      <c r="C404" s="7">
        <v>1.7195</v>
      </c>
      <c r="D404" s="2"/>
    </row>
    <row r="405" spans="1:4" x14ac:dyDescent="0.2">
      <c r="A405" s="2">
        <v>402</v>
      </c>
      <c r="B405" s="2" t="str">
        <f>"תיק צמדן - סגול"</f>
        <v>תיק צמדן - סגול</v>
      </c>
      <c r="C405" s="7">
        <v>1.7195</v>
      </c>
      <c r="D405" s="2"/>
    </row>
    <row r="406" spans="1:4" x14ac:dyDescent="0.2">
      <c r="A406" s="2">
        <v>403</v>
      </c>
      <c r="B406" s="2" t="str">
        <f>"קלסר משרדי פליקן גב 8 ורוד אנגלית"</f>
        <v>קלסר משרדי פליקן גב 8 ורוד אנגלית</v>
      </c>
      <c r="C406" s="7">
        <v>5.3395000000000001</v>
      </c>
      <c r="D406" s="2"/>
    </row>
    <row r="407" spans="1:4" x14ac:dyDescent="0.2">
      <c r="A407" s="2">
        <v>404</v>
      </c>
      <c r="B407" s="2" t="str">
        <f>"תיק שתי טבעות P.O /פנטלמהודר בורדו - אקסלוסיב"</f>
        <v>תיק שתי טבעות P.O /פנטלמהודר בורדו - אקסלוסיב</v>
      </c>
      <c r="C407" s="7">
        <v>4.0724999999999998</v>
      </c>
      <c r="D407" s="2"/>
    </row>
    <row r="408" spans="1:4" x14ac:dyDescent="0.2">
      <c r="A408" s="2">
        <v>405</v>
      </c>
      <c r="B408" s="2" t="str">
        <f>"תיק מנילה פוליו עם ברזל - בז"</f>
        <v>תיק מנילה פוליו עם ברזל - בז</v>
      </c>
      <c r="C408" s="7">
        <v>1.2217500000000001</v>
      </c>
      <c r="D408" s="2"/>
    </row>
    <row r="409" spans="1:4" x14ac:dyDescent="0.2">
      <c r="A409" s="2">
        <v>406</v>
      </c>
      <c r="B409" s="2" t="str">
        <f>"גליל פוליטילן 50 מטר נפתח ל-2 מטר"</f>
        <v>גליל פוליטילן 50 מטר נפתח ל-2 מטר</v>
      </c>
      <c r="C409" s="7">
        <v>179.19</v>
      </c>
      <c r="D409" s="2"/>
    </row>
    <row r="410" spans="1:4" x14ac:dyDescent="0.2">
      <c r="A410" s="2">
        <v>407</v>
      </c>
      <c r="B410" s="2" t="str">
        <f>"תיק טבעות פוליו דיאגונלי אדמדם מפל"</f>
        <v>תיק טבעות פוליו דיאגונלי אדמדם מפל</v>
      </c>
      <c r="C410" s="7">
        <v>2.9864999999999999</v>
      </c>
      <c r="D410" s="2"/>
    </row>
    <row r="411" spans="1:4" x14ac:dyDescent="0.2">
      <c r="A411" s="2">
        <v>408</v>
      </c>
      <c r="B411" s="2" t="str">
        <f>"תיק טבעות פוליו דיאגונלי סגלגל מפל"</f>
        <v>תיק טבעות פוליו דיאגונלי סגלגל מפל</v>
      </c>
      <c r="C411" s="7">
        <v>2.9864999999999999</v>
      </c>
      <c r="D411" s="2"/>
    </row>
    <row r="412" spans="1:4" x14ac:dyDescent="0.2">
      <c r="A412" s="2">
        <v>409</v>
      </c>
      <c r="B412" s="2" t="str">
        <f>"תיק טבעות פוליו דיאגונלי כחלחל מפל"</f>
        <v>תיק טבעות פוליו דיאגונלי כחלחל מפל</v>
      </c>
      <c r="C412" s="7">
        <v>2.9864999999999999</v>
      </c>
      <c r="D412" s="2"/>
    </row>
    <row r="413" spans="1:4" x14ac:dyDescent="0.2">
      <c r="A413" s="2">
        <v>410</v>
      </c>
      <c r="B413" s="2" t="str">
        <f>"תיק טבעות פוליו דיאגונלי ירקרק מפל"</f>
        <v>תיק טבעות פוליו דיאגונלי ירקרק מפל</v>
      </c>
      <c r="C413" s="7">
        <v>2.9864999999999999</v>
      </c>
      <c r="D413" s="2"/>
    </row>
    <row r="414" spans="1:4" x14ac:dyDescent="0.2">
      <c r="A414" s="2">
        <v>411</v>
      </c>
      <c r="B414" s="2" t="str">
        <f>"תיק מנילה פוליו עם ברזל סגול"</f>
        <v>תיק מנילה פוליו עם ברזל סגול</v>
      </c>
      <c r="C414" s="7">
        <v>1.2217500000000001</v>
      </c>
      <c r="D414" s="2"/>
    </row>
    <row r="415" spans="1:4" x14ac:dyDescent="0.2">
      <c r="A415" s="2">
        <v>412</v>
      </c>
      <c r="B415" s="2" t="str">
        <f>"תיק מנילה פוליו עם ברזל אפור"</f>
        <v>תיק מנילה פוליו עם ברזל אפור</v>
      </c>
      <c r="C415" s="7">
        <v>1.2217500000000001</v>
      </c>
      <c r="D415" s="2"/>
    </row>
    <row r="416" spans="1:4" x14ac:dyDescent="0.2">
      <c r="A416" s="2">
        <v>413</v>
      </c>
      <c r="B416" s="2" t="str">
        <f>"שמרדף 50 ) A5  יח'30 (  מיקרון"</f>
        <v>שמרדף 50 ) A5  יח'30 (  מיקרון</v>
      </c>
      <c r="C416" s="7">
        <v>2.6244999999999998</v>
      </c>
      <c r="D416" s="2"/>
    </row>
    <row r="417" spans="1:4" x14ac:dyDescent="0.2">
      <c r="A417" s="2">
        <v>414</v>
      </c>
      <c r="B417" s="2" t="str">
        <f>"סט 3 מגשי דואר &gt;&gt;חדש&lt;&lt; שחור"</f>
        <v>סט 3 מגשי דואר &gt;&gt;חדש&lt;&lt; שחור</v>
      </c>
      <c r="C417" s="7">
        <v>24.3445</v>
      </c>
      <c r="D417" s="2"/>
    </row>
    <row r="418" spans="1:4" x14ac:dyDescent="0.2">
      <c r="A418" s="2">
        <v>415</v>
      </c>
      <c r="B418" s="2" t="str">
        <f>"סט 3 מגשי דואר &gt;&gt;חדש&lt;&lt; כחול"</f>
        <v>סט 3 מגשי דואר &gt;&gt;חדש&lt;&lt; כחול</v>
      </c>
      <c r="C418" s="7">
        <v>24.3445</v>
      </c>
      <c r="D418" s="2"/>
    </row>
    <row r="419" spans="1:4" x14ac:dyDescent="0.2">
      <c r="A419" s="2">
        <v>416</v>
      </c>
      <c r="B419" s="2" t="str">
        <f>"טריפלE דיאגונלי סגלגל מפל"</f>
        <v>טריפלE דיאגונלי סגלגל מפל</v>
      </c>
      <c r="C419" s="7">
        <v>3.9820000000000007</v>
      </c>
      <c r="D419" s="2"/>
    </row>
    <row r="420" spans="1:4" x14ac:dyDescent="0.2">
      <c r="A420" s="2">
        <v>417</v>
      </c>
      <c r="B420" s="2" t="str">
        <f>"אלסטיק פייל דיאגונלי כחלחל מפל"</f>
        <v>אלסטיק פייל דיאגונלי כחלחל מפל</v>
      </c>
      <c r="C420" s="7">
        <v>4.9775</v>
      </c>
      <c r="D420" s="2"/>
    </row>
    <row r="421" spans="1:4" x14ac:dyDescent="0.2">
      <c r="A421" s="2">
        <v>418</v>
      </c>
      <c r="B421" s="2" t="str">
        <f>"קופסת קטלוג דיאגונלי סגלגל מפל"</f>
        <v>קופסת קטלוג דיאגונלי סגלגל מפל</v>
      </c>
      <c r="C421" s="7">
        <v>7.9097000000000008</v>
      </c>
      <c r="D421" s="2"/>
    </row>
    <row r="422" spans="1:4" x14ac:dyDescent="0.2">
      <c r="A422" s="2">
        <v>419</v>
      </c>
      <c r="B422" s="2" t="str">
        <f>"תיק טבעות פוליו דיאגונלי שקוף מפל"</f>
        <v>תיק טבעות פוליו דיאגונלי שקוף מפל</v>
      </c>
      <c r="C422" s="7">
        <v>2.9864999999999999</v>
      </c>
      <c r="D422" s="2"/>
    </row>
    <row r="423" spans="1:4" x14ac:dyDescent="0.2">
      <c r="A423" s="2">
        <v>420</v>
      </c>
      <c r="B423" s="2" t="str">
        <f>"שמרדף פוליו (50  מיקרון) עבה פרימיום"</f>
        <v>שמרדף פוליו (50  מיקרון) עבה פרימיום</v>
      </c>
      <c r="C423" s="7">
        <v>6.2445000000000004</v>
      </c>
      <c r="D423" s="2"/>
    </row>
    <row r="424" spans="1:4" x14ac:dyDescent="0.2">
      <c r="A424" s="2">
        <v>421</v>
      </c>
      <c r="B424" s="2" t="str">
        <f>"שמרדף פוליו חב' 75מיקרון סופר פרימיום - 50יח'"</f>
        <v>שמרדף פוליו חב' 75מיקרון סופר פרימיום - 50יח'</v>
      </c>
      <c r="C424" s="7">
        <v>8.0545000000000009</v>
      </c>
      <c r="D424" s="2"/>
    </row>
    <row r="425" spans="1:4" x14ac:dyDescent="0.2">
      <c r="A425" s="2">
        <v>422</v>
      </c>
      <c r="B425" s="2" t="str">
        <f>"מחברת ספירלה שורה 1 A4 נושא מפל"</f>
        <v>מחברת ספירלה שורה 1 A4 נושא מפל</v>
      </c>
      <c r="C425" s="7">
        <v>3.5295000000000001</v>
      </c>
      <c r="D425" s="2"/>
    </row>
    <row r="426" spans="1:4" x14ac:dyDescent="0.2">
      <c r="A426" s="2">
        <v>423</v>
      </c>
      <c r="B426" s="2" t="str">
        <f>"מחברת ספירלה 80 גר' שורה 3 A4 נושאים"</f>
        <v>מחברת ספירלה 80 גר' שורה 3 A4 נושאים</v>
      </c>
      <c r="C426" s="7">
        <v>7.0590000000000002</v>
      </c>
      <c r="D426" s="2"/>
    </row>
    <row r="427" spans="1:4" x14ac:dyDescent="0.2">
      <c r="A427" s="2">
        <v>424</v>
      </c>
      <c r="B427" s="2" t="str">
        <f>"שמרדף פוליו חב'75 )  מיקרון) סופר פרימיום -25  י"</f>
        <v>שמרדף פוליו חב'75 )  מיקרון) סופר פרימיום -25  י</v>
      </c>
      <c r="C427" s="7">
        <v>3.62</v>
      </c>
      <c r="D427" s="2"/>
    </row>
    <row r="428" spans="1:4" x14ac:dyDescent="0.2">
      <c r="A428" s="2">
        <v>425</v>
      </c>
      <c r="B428" s="2" t="str">
        <f>"עט כדורי חד פעמי שקוף - כחול"</f>
        <v>עט כדורי חד פעמי שקוף - כחול</v>
      </c>
      <c r="C428" s="7">
        <v>0.19005</v>
      </c>
      <c r="D428" s="2"/>
    </row>
    <row r="429" spans="1:4" x14ac:dyDescent="0.2">
      <c r="A429" s="2">
        <v>426</v>
      </c>
      <c r="B429" s="2" t="str">
        <f>"עט כדורי חד פעמי שקוף - שחור*"</f>
        <v>עט כדורי חד פעמי שקוף - שחור*</v>
      </c>
      <c r="C429" s="7">
        <v>0.19005</v>
      </c>
      <c r="D429" s="2"/>
    </row>
    <row r="430" spans="1:4" x14ac:dyDescent="0.2">
      <c r="A430" s="2">
        <v>427</v>
      </c>
      <c r="B430" s="2" t="str">
        <f>"עט כדורי חד פעמי שקוף - אדום"</f>
        <v>עט כדורי חד פעמי שקוף - אדום</v>
      </c>
      <c r="C430" s="7">
        <v>0.19005</v>
      </c>
      <c r="D430" s="2"/>
    </row>
    <row r="431" spans="1:4" x14ac:dyDescent="0.2">
      <c r="A431" s="2">
        <v>428</v>
      </c>
      <c r="B431" s="2" t="str">
        <f>"עטPILOT G TEC C4 ירוק"</f>
        <v>עטPILOT G TEC C4 ירוק</v>
      </c>
      <c r="C431" s="7">
        <v>4.9775</v>
      </c>
      <c r="D431" s="2"/>
    </row>
    <row r="432" spans="1:4" x14ac:dyDescent="0.2">
      <c r="A432" s="2">
        <v>429</v>
      </c>
      <c r="B432" s="2" t="str">
        <f>"עטPILOT G TEC C4 צהוב"</f>
        <v>עטPILOT G TEC C4 צהוב</v>
      </c>
      <c r="C432" s="7">
        <v>4.9775</v>
      </c>
      <c r="D432" s="2"/>
    </row>
    <row r="433" spans="1:4" x14ac:dyDescent="0.2">
      <c r="A433" s="2">
        <v>430</v>
      </c>
      <c r="B433" s="2" t="str">
        <f>"עטPILOT G TEC C4 כתום"</f>
        <v>עטPILOT G TEC C4 כתום</v>
      </c>
      <c r="C433" s="7">
        <v>4.9775</v>
      </c>
      <c r="D433" s="2"/>
    </row>
    <row r="434" spans="1:4" x14ac:dyDescent="0.2">
      <c r="A434" s="2">
        <v>431</v>
      </c>
      <c r="B434" s="2" t="str">
        <f>"עטPILOT G TEC C4 ורוד"</f>
        <v>עטPILOT G TEC C4 ורוד</v>
      </c>
      <c r="C434" s="7">
        <v>4.9775</v>
      </c>
      <c r="D434" s="2"/>
    </row>
    <row r="435" spans="1:4" x14ac:dyDescent="0.2">
      <c r="A435" s="2">
        <v>432</v>
      </c>
      <c r="B435" s="2" t="str">
        <f>"עטPILOT G TEC C4 סגול"</f>
        <v>עטPILOT G TEC C4 סגול</v>
      </c>
      <c r="C435" s="7">
        <v>4.9775</v>
      </c>
      <c r="D435" s="2"/>
    </row>
    <row r="436" spans="1:4" x14ac:dyDescent="0.2">
      <c r="A436" s="2">
        <v>433</v>
      </c>
      <c r="B436" s="2" t="str">
        <f>"עטPILOT G TEC C4 תכלת"</f>
        <v>עטPILOT G TEC C4 תכלת</v>
      </c>
      <c r="C436" s="7">
        <v>4.9775</v>
      </c>
      <c r="D436" s="2"/>
    </row>
    <row r="437" spans="1:4" x14ac:dyDescent="0.2">
      <c r="A437" s="2">
        <v>434</v>
      </c>
      <c r="B437" s="2" t="str">
        <f>"עטPILOT G TEC C4 שחור*"</f>
        <v>עטPILOT G TEC C4 שחור*</v>
      </c>
      <c r="C437" s="7">
        <v>4.9775</v>
      </c>
      <c r="D437" s="2"/>
    </row>
    <row r="438" spans="1:4" x14ac:dyDescent="0.2">
      <c r="A438" s="2">
        <v>435</v>
      </c>
      <c r="B438" s="2" t="str">
        <f>"עטPILOT G TEC C4 אדום"</f>
        <v>עטPILOT G TEC C4 אדום</v>
      </c>
      <c r="C438" s="7">
        <v>4.9775</v>
      </c>
      <c r="D438" s="2"/>
    </row>
    <row r="439" spans="1:4" x14ac:dyDescent="0.2">
      <c r="A439" s="2">
        <v>436</v>
      </c>
      <c r="B439" s="2" t="str">
        <f>"עטPILOT G TEC C4 כחול"</f>
        <v>עטPILOT G TEC C4 כחול</v>
      </c>
      <c r="C439" s="7">
        <v>4.9775</v>
      </c>
      <c r="D439" s="2"/>
    </row>
    <row r="440" spans="1:4" x14ac:dyDescent="0.2">
      <c r="A440" s="2">
        <v>437</v>
      </c>
      <c r="B440" s="2" t="str">
        <f>"עטPILOT G TEC C4 חום"</f>
        <v>עטPILOT G TEC C4 חום</v>
      </c>
      <c r="C440" s="7">
        <v>4.9775</v>
      </c>
      <c r="D440" s="2"/>
    </row>
    <row r="441" spans="1:4" x14ac:dyDescent="0.2">
      <c r="A441" s="2">
        <v>438</v>
      </c>
      <c r="B441" s="2" t="str">
        <f>"עט רולר טכנופוינט ""חדש""V5  גריפ שחור *0.5"</f>
        <v>עט רולר טכנופוינט "חדש"V5  גריפ שחור *0.5</v>
      </c>
      <c r="C441" s="7">
        <v>4.1629999999999994</v>
      </c>
      <c r="D441" s="2"/>
    </row>
    <row r="442" spans="1:4" x14ac:dyDescent="0.2">
      <c r="A442" s="2">
        <v>439</v>
      </c>
      <c r="B442" s="2" t="str">
        <f>"עט רולר טכנופוינט ""חדש""V5  גריפ כחול 0.5"</f>
        <v>עט רולר טכנופוינט "חדש"V5  גריפ כחול 0.5</v>
      </c>
      <c r="C442" s="7">
        <v>4.1629999999999994</v>
      </c>
      <c r="D442" s="2"/>
    </row>
    <row r="443" spans="1:4" x14ac:dyDescent="0.2">
      <c r="A443" s="2">
        <v>440</v>
      </c>
      <c r="B443" s="2" t="str">
        <f>"עט רולר טכנופוינט ""חדש""V5  גריפ אדום 0.5"</f>
        <v>עט רולר טכנופוינט "חדש"V5  גריפ אדום 0.5</v>
      </c>
      <c r="C443" s="7">
        <v>4.1629999999999994</v>
      </c>
      <c r="D443" s="2"/>
    </row>
    <row r="444" spans="1:4" x14ac:dyDescent="0.2">
      <c r="A444" s="2">
        <v>441</v>
      </c>
      <c r="B444" s="2" t="str">
        <f>"עט רולר טכנופוינט ""חדש""V5  גריפ ירוק 0.5"</f>
        <v>עט רולר טכנופוינט "חדש"V5  גריפ ירוק 0.5</v>
      </c>
      <c r="C444" s="7">
        <v>4.1629999999999994</v>
      </c>
      <c r="D444" s="2"/>
    </row>
    <row r="445" spans="1:4" x14ac:dyDescent="0.2">
      <c r="A445" s="2">
        <v>442</v>
      </c>
      <c r="B445" s="2" t="str">
        <f>"עט רולר טכנופוינט ""חדש""V7  גריפ שחור 0.7"</f>
        <v>עט רולר טכנופוינט "חדש"V7  גריפ שחור 0.7</v>
      </c>
      <c r="C445" s="7">
        <v>4.1629999999999994</v>
      </c>
      <c r="D445" s="2"/>
    </row>
    <row r="446" spans="1:4" x14ac:dyDescent="0.2">
      <c r="A446" s="2">
        <v>443</v>
      </c>
      <c r="B446" s="2" t="str">
        <f>"עט רולר טכנופוינט ""חדש""V7  גריפ כחול 0.7"</f>
        <v>עט רולר טכנופוינט "חדש"V7  גריפ כחול 0.7</v>
      </c>
      <c r="C446" s="7">
        <v>4.1629999999999994</v>
      </c>
      <c r="D446" s="2"/>
    </row>
    <row r="447" spans="1:4" x14ac:dyDescent="0.2">
      <c r="A447" s="2">
        <v>444</v>
      </c>
      <c r="B447" s="2" t="str">
        <f>"עט רולר טכנופוינט ""חדש""V7  גריפ אדום 0.7"</f>
        <v>עט רולר טכנופוינט "חדש"V7  גריפ אדום 0.7</v>
      </c>
      <c r="C447" s="7">
        <v>4.1629999999999994</v>
      </c>
      <c r="D447" s="2"/>
    </row>
    <row r="448" spans="1:4" x14ac:dyDescent="0.2">
      <c r="A448" s="2">
        <v>445</v>
      </c>
      <c r="B448" s="2" t="str">
        <f>"עט רולר טכנופוינט ""חדש""V7  גריפ ירוק 0.7"</f>
        <v>עט רולר טכנופוינט "חדש"V7  גריפ ירוק 0.7</v>
      </c>
      <c r="C448" s="7">
        <v>4.1629999999999994</v>
      </c>
      <c r="D448" s="2"/>
    </row>
    <row r="449" spans="1:4" x14ac:dyDescent="0.2">
      <c r="A449" s="2">
        <v>446</v>
      </c>
      <c r="B449" s="2" t="str">
        <f>"סט*10 עט פיילוטG TEC C4"</f>
        <v>סט*10 עט פיילוטG TEC C4</v>
      </c>
      <c r="C449" s="7">
        <v>55.748000000000005</v>
      </c>
      <c r="D449" s="2"/>
    </row>
    <row r="450" spans="1:4" x14ac:dyDescent="0.2">
      <c r="A450" s="2">
        <v>447</v>
      </c>
      <c r="B450" s="2" t="str">
        <f>"עט רולר- V5 PILOT שחור*"</f>
        <v>עט רולר- V5 PILOT שחור*</v>
      </c>
      <c r="C450" s="7">
        <v>4.9775</v>
      </c>
      <c r="D450" s="2"/>
    </row>
    <row r="451" spans="1:4" x14ac:dyDescent="0.2">
      <c r="A451" s="2">
        <v>448</v>
      </c>
      <c r="B451" s="2" t="str">
        <f>"עט רולר- V5 PILOT כחול"</f>
        <v>עט רולר- V5 PILOT כחול</v>
      </c>
      <c r="C451" s="7">
        <v>4.9775</v>
      </c>
      <c r="D451" s="2"/>
    </row>
    <row r="452" spans="1:4" x14ac:dyDescent="0.2">
      <c r="A452" s="2">
        <v>449</v>
      </c>
      <c r="B452" s="2" t="str">
        <f>"עט רולר- V5 PILOT אדום"</f>
        <v>עט רולר- V5 PILOT אדום</v>
      </c>
      <c r="C452" s="7">
        <v>4.9775</v>
      </c>
      <c r="D452" s="2"/>
    </row>
    <row r="453" spans="1:4" x14ac:dyDescent="0.2">
      <c r="A453" s="2">
        <v>450</v>
      </c>
      <c r="B453" s="2" t="str">
        <f>"עט רולר- V5 PILOT ירוק"</f>
        <v>עט רולר- V5 PILOT ירוק</v>
      </c>
      <c r="C453" s="7">
        <v>4.9775</v>
      </c>
      <c r="D453" s="2"/>
    </row>
    <row r="454" spans="1:4" x14ac:dyDescent="0.2">
      <c r="A454" s="2">
        <v>451</v>
      </c>
      <c r="B454" s="2" t="str">
        <f>"עט רולר- V7 PILOT שחור"</f>
        <v>עט רולר- V7 PILOT שחור</v>
      </c>
      <c r="C454" s="7">
        <v>4.9775</v>
      </c>
      <c r="D454" s="2"/>
    </row>
    <row r="455" spans="1:4" x14ac:dyDescent="0.2">
      <c r="A455" s="2">
        <v>452</v>
      </c>
      <c r="B455" s="2" t="str">
        <f>"עט רולר- V7 PILOT אדום"</f>
        <v>עט רולר- V7 PILOT אדום</v>
      </c>
      <c r="C455" s="7">
        <v>4.9775</v>
      </c>
      <c r="D455" s="2"/>
    </row>
    <row r="456" spans="1:4" x14ac:dyDescent="0.2">
      <c r="A456" s="2">
        <v>453</v>
      </c>
      <c r="B456" s="2" t="str">
        <f>"עט רולר- V7 PILOT ירוק"</f>
        <v>עט רולר- V7 PILOT ירוק</v>
      </c>
      <c r="C456" s="7">
        <v>4.9775</v>
      </c>
      <c r="D456" s="2"/>
    </row>
    <row r="457" spans="1:4" x14ac:dyDescent="0.2">
      <c r="A457" s="2">
        <v>454</v>
      </c>
      <c r="B457" s="2" t="str">
        <f>"עט רולר- V7 PILOT כחול"</f>
        <v>עט רולר- V7 PILOT כחול</v>
      </c>
      <c r="C457" s="7">
        <v>4.9775</v>
      </c>
      <c r="D457" s="2"/>
    </row>
    <row r="458" spans="1:4" x14ac:dyDescent="0.2">
      <c r="A458" s="2">
        <v>455</v>
      </c>
      <c r="B458" s="2" t="str">
        <f>"עט רולר- V5 PILOT סגול"</f>
        <v>עט רולר- V5 PILOT סגול</v>
      </c>
      <c r="C458" s="7">
        <v>4.9775</v>
      </c>
      <c r="D458" s="2"/>
    </row>
    <row r="459" spans="1:4" x14ac:dyDescent="0.2">
      <c r="A459" s="2">
        <v>456</v>
      </c>
      <c r="B459" s="2" t="str">
        <f>"עט רולר- V5 PILOT תכלת"</f>
        <v>עט רולר- V5 PILOT תכלת</v>
      </c>
      <c r="C459" s="7">
        <v>4.9775</v>
      </c>
      <c r="D459" s="2"/>
    </row>
    <row r="460" spans="1:4" x14ac:dyDescent="0.2">
      <c r="A460" s="2">
        <v>457</v>
      </c>
      <c r="B460" s="2" t="str">
        <f>"עט רולר- V5 PILOT ורוד"</f>
        <v>עט רולר- V5 PILOT ורוד</v>
      </c>
      <c r="C460" s="7">
        <v>4.9775</v>
      </c>
      <c r="D460" s="2"/>
    </row>
    <row r="461" spans="1:4" x14ac:dyDescent="0.2">
      <c r="A461" s="2">
        <v>458</v>
      </c>
      <c r="B461" s="2" t="str">
        <f>"עט פרקר טיבול כדורי חצי מתכת-שחור ( מילוי כחול )"</f>
        <v>עט פרקר טיבול כדורי חצי מתכת-שחור ( מילוי כחול )</v>
      </c>
      <c r="C461" s="7">
        <v>11.882650000000002</v>
      </c>
      <c r="D461" s="2"/>
    </row>
    <row r="462" spans="1:4" x14ac:dyDescent="0.2">
      <c r="A462" s="2">
        <v>459</v>
      </c>
      <c r="B462" s="2" t="str">
        <f>"עט פרקר טיבול כדורי חצי מתכת--כחול כהה"</f>
        <v>עט פרקר טיבול כדורי חצי מתכת--כחול כהה</v>
      </c>
      <c r="C462" s="7">
        <v>11.882650000000002</v>
      </c>
      <c r="D462" s="2"/>
    </row>
    <row r="463" spans="1:4" x14ac:dyDescent="0.2">
      <c r="A463" s="2">
        <v>460</v>
      </c>
      <c r="B463" s="2" t="str">
        <f>"עופרות פנטל 0.5HB 40בשפ'"</f>
        <v>עופרות פנטל 0.5HB 40בשפ'</v>
      </c>
      <c r="C463" s="7">
        <v>3.4842500000000003</v>
      </c>
      <c r="D463" s="2"/>
    </row>
    <row r="464" spans="1:4" x14ac:dyDescent="0.2">
      <c r="A464" s="2">
        <v>461</v>
      </c>
      <c r="B464" s="2" t="str">
        <f>"טוש הדגשה - PELIKAN צהוב*"</f>
        <v>טוש הדגשה - PELIKAN צהוב*</v>
      </c>
      <c r="C464" s="7">
        <v>1.9910000000000003</v>
      </c>
      <c r="D464" s="2"/>
    </row>
    <row r="465" spans="1:4" x14ac:dyDescent="0.2">
      <c r="A465" s="2">
        <v>462</v>
      </c>
      <c r="B465" s="2" t="str">
        <f>"טוש הדגשה - PELIKAN כתום"</f>
        <v>טוש הדגשה - PELIKAN כתום</v>
      </c>
      <c r="C465" s="7">
        <v>1.9910000000000003</v>
      </c>
      <c r="D465" s="2"/>
    </row>
    <row r="466" spans="1:4" x14ac:dyDescent="0.2">
      <c r="A466" s="2">
        <v>463</v>
      </c>
      <c r="B466" s="2" t="str">
        <f>"טוש הדגשה - PELIKAN ורוד"</f>
        <v>טוש הדגשה - PELIKAN ורוד</v>
      </c>
      <c r="C466" s="7">
        <v>1.9910000000000003</v>
      </c>
      <c r="D466" s="2"/>
    </row>
    <row r="467" spans="1:4" x14ac:dyDescent="0.2">
      <c r="A467" s="2">
        <v>464</v>
      </c>
      <c r="B467" s="2" t="str">
        <f>"טוש הדגשה - PELIKAN אדום"</f>
        <v>טוש הדגשה - PELIKAN אדום</v>
      </c>
      <c r="C467" s="7">
        <v>1.9910000000000003</v>
      </c>
      <c r="D467" s="2"/>
    </row>
    <row r="468" spans="1:4" x14ac:dyDescent="0.2">
      <c r="A468" s="2">
        <v>465</v>
      </c>
      <c r="B468" s="2" t="str">
        <f>"טוש הדגשה - PELIKAN ירוק"</f>
        <v>טוש הדגשה - PELIKAN ירוק</v>
      </c>
      <c r="C468" s="7">
        <v>1.9910000000000003</v>
      </c>
      <c r="D468" s="2"/>
    </row>
    <row r="469" spans="1:4" x14ac:dyDescent="0.2">
      <c r="A469" s="2">
        <v>466</v>
      </c>
      <c r="B469" s="2" t="str">
        <f>"טוש הדגשה ארטי - צהוב*"</f>
        <v>טוש הדגשה ארטי - צהוב*</v>
      </c>
      <c r="C469" s="7">
        <v>0.62444999999999995</v>
      </c>
      <c r="D469" s="2"/>
    </row>
    <row r="470" spans="1:4" x14ac:dyDescent="0.2">
      <c r="A470" s="2">
        <v>467</v>
      </c>
      <c r="B470" s="2" t="str">
        <f>"טוש הדגשה ארטי - ורוד"</f>
        <v>טוש הדגשה ארטי - ורוד</v>
      </c>
      <c r="C470" s="7">
        <v>0.62444999999999995</v>
      </c>
      <c r="D470" s="2"/>
    </row>
    <row r="471" spans="1:4" x14ac:dyDescent="0.2">
      <c r="A471" s="2">
        <v>468</v>
      </c>
      <c r="B471" s="2" t="str">
        <f>"טוש הדגשה ארטי - כתום"</f>
        <v>טוש הדגשה ארטי - כתום</v>
      </c>
      <c r="C471" s="7">
        <v>0.62444999999999995</v>
      </c>
      <c r="D471" s="2"/>
    </row>
    <row r="472" spans="1:4" x14ac:dyDescent="0.2">
      <c r="A472" s="2">
        <v>469</v>
      </c>
      <c r="B472" s="2" t="str">
        <f>"טוש הדגשה ארטי - ירוק"</f>
        <v>טוש הדגשה ארטי - ירוק</v>
      </c>
      <c r="C472" s="7">
        <v>0.62444999999999995</v>
      </c>
      <c r="D472" s="2"/>
    </row>
    <row r="473" spans="1:4" x14ac:dyDescent="0.2">
      <c r="A473" s="2">
        <v>470</v>
      </c>
      <c r="B473" s="2" t="str">
        <f>"טוש הדגשה ארטי - כחול"</f>
        <v>טוש הדגשה ארטי - כחול</v>
      </c>
      <c r="C473" s="7">
        <v>0.62444999999999995</v>
      </c>
      <c r="D473" s="2"/>
    </row>
    <row r="474" spans="1:4" x14ac:dyDescent="0.2">
      <c r="A474" s="2">
        <v>471</v>
      </c>
      <c r="B474" s="2" t="str">
        <f>"סט 4 טוש הדגשה ארטי"</f>
        <v>סט 4 טוש הדגשה ארטי</v>
      </c>
      <c r="C474" s="7">
        <v>3.1675</v>
      </c>
      <c r="D474" s="2"/>
    </row>
    <row r="475" spans="1:4" x14ac:dyDescent="0.2">
      <c r="A475" s="2">
        <v>472</v>
      </c>
      <c r="B475" s="2" t="str">
        <f>"טוש סימון ארטי - 90 שחור*"</f>
        <v>טוש סימון ארטי - 90 שחור*</v>
      </c>
      <c r="C475" s="7">
        <v>1.3937000000000002</v>
      </c>
      <c r="D475" s="2"/>
    </row>
    <row r="476" spans="1:4" x14ac:dyDescent="0.2">
      <c r="A476" s="2">
        <v>473</v>
      </c>
      <c r="B476" s="2" t="str">
        <f>"טוש סימון ארטי - 90 כחול"</f>
        <v>טוש סימון ארטי - 90 כחול</v>
      </c>
      <c r="C476" s="7">
        <v>1.3937000000000002</v>
      </c>
      <c r="D476" s="2"/>
    </row>
    <row r="477" spans="1:4" x14ac:dyDescent="0.2">
      <c r="A477" s="2">
        <v>474</v>
      </c>
      <c r="B477" s="2" t="str">
        <f>"טוש סימון ארטי - 90 אדום"</f>
        <v>טוש סימון ארטי - 90 אדום</v>
      </c>
      <c r="C477" s="7">
        <v>1.3937000000000002</v>
      </c>
      <c r="D477" s="2"/>
    </row>
    <row r="478" spans="1:4" x14ac:dyDescent="0.2">
      <c r="A478" s="2">
        <v>475</v>
      </c>
      <c r="B478" s="2" t="str">
        <f>"טוש סימון ארטי - 70 שחור"</f>
        <v>טוש סימון ארטי - 70 שחור</v>
      </c>
      <c r="C478" s="7">
        <v>1.3937000000000002</v>
      </c>
      <c r="D478" s="2"/>
    </row>
    <row r="479" spans="1:4" x14ac:dyDescent="0.2">
      <c r="A479" s="2">
        <v>476</v>
      </c>
      <c r="B479" s="2" t="str">
        <f>"טוש סימון ארטי - 70 כחול"</f>
        <v>טוש סימון ארטי - 70 כחול</v>
      </c>
      <c r="C479" s="7">
        <v>1.3937000000000002</v>
      </c>
      <c r="D479" s="2"/>
    </row>
    <row r="480" spans="1:4" x14ac:dyDescent="0.2">
      <c r="A480" s="2">
        <v>477</v>
      </c>
      <c r="B480" s="2" t="str">
        <f>"טוש סימון ארטי - 70 אדום"</f>
        <v>טוש סימון ארטי - 70 אדום</v>
      </c>
      <c r="C480" s="7">
        <v>1.3937000000000002</v>
      </c>
      <c r="D480" s="2"/>
    </row>
    <row r="481" spans="1:4" x14ac:dyDescent="0.2">
      <c r="A481" s="2">
        <v>478</v>
      </c>
      <c r="B481" s="2" t="str">
        <f>"טוש ללוח מחיק ארטי - 70 שחור*"</f>
        <v>טוש ללוח מחיק ארטי - 70 שחור*</v>
      </c>
      <c r="C481" s="7">
        <v>1.3937000000000002</v>
      </c>
      <c r="D481" s="2"/>
    </row>
    <row r="482" spans="1:4" x14ac:dyDescent="0.2">
      <c r="A482" s="2">
        <v>479</v>
      </c>
      <c r="B482" s="2" t="str">
        <f>"טוש ללוח מחיק ארטי - 70 כחול"</f>
        <v>טוש ללוח מחיק ארטי - 70 כחול</v>
      </c>
      <c r="C482" s="7">
        <v>1.3937000000000002</v>
      </c>
      <c r="D482" s="2"/>
    </row>
    <row r="483" spans="1:4" x14ac:dyDescent="0.2">
      <c r="A483" s="2">
        <v>480</v>
      </c>
      <c r="B483" s="2" t="str">
        <f>"טוש ללוח מחיק ארטי - 70 אדום"</f>
        <v>טוש ללוח מחיק ארטי - 70 אדום</v>
      </c>
      <c r="C483" s="7">
        <v>1.3937000000000002</v>
      </c>
      <c r="D483" s="2"/>
    </row>
    <row r="484" spans="1:4" x14ac:dyDescent="0.2">
      <c r="A484" s="2">
        <v>481</v>
      </c>
      <c r="B484" s="2" t="str">
        <f>"טוש ללוח מחיק ארטי - 90 שחור"</f>
        <v>טוש ללוח מחיק ארטי - 90 שחור</v>
      </c>
      <c r="C484" s="7">
        <v>1.3937000000000002</v>
      </c>
      <c r="D484" s="2"/>
    </row>
    <row r="485" spans="1:4" x14ac:dyDescent="0.2">
      <c r="A485" s="2">
        <v>482</v>
      </c>
      <c r="B485" s="2" t="str">
        <f>"טוש ללוח מחיק ארטי - 90 כחול"</f>
        <v>טוש ללוח מחיק ארטי - 90 כחול</v>
      </c>
      <c r="C485" s="7">
        <v>1.3937000000000002</v>
      </c>
      <c r="D485" s="2"/>
    </row>
    <row r="486" spans="1:4" x14ac:dyDescent="0.2">
      <c r="A486" s="2">
        <v>483</v>
      </c>
      <c r="B486" s="2" t="str">
        <f>"טוש הדגשה ארטי בסט 6 יח'"</f>
        <v>טוש הדגשה ארטי בסט 6 יח'</v>
      </c>
      <c r="C486" s="7">
        <v>5.3395000000000001</v>
      </c>
      <c r="D486" s="2"/>
    </row>
    <row r="487" spans="1:4" x14ac:dyDescent="0.2">
      <c r="A487" s="2">
        <v>484</v>
      </c>
      <c r="B487" s="2" t="str">
        <f>"טוש ללוח מחיק ארטי - 90 אדום"</f>
        <v>טוש ללוח מחיק ארטי - 90 אדום</v>
      </c>
      <c r="C487" s="7">
        <v>1.3937000000000002</v>
      </c>
      <c r="D487" s="2"/>
    </row>
    <row r="488" spans="1:4" x14ac:dyDescent="0.2">
      <c r="A488" s="2">
        <v>485</v>
      </c>
      <c r="B488" s="2" t="str">
        <f>"טוש ללוח מחיק ארטי - 90 ירוק"</f>
        <v>טוש ללוח מחיק ארטי - 90 ירוק</v>
      </c>
      <c r="C488" s="7">
        <v>1.3937000000000002</v>
      </c>
      <c r="D488" s="2"/>
    </row>
    <row r="489" spans="1:4" x14ac:dyDescent="0.2">
      <c r="A489" s="2">
        <v>486</v>
      </c>
      <c r="B489" s="2" t="str">
        <f>"סט 4 טושים סימון פרמננטי פנטל ) 70 כחול, שחור, א"</f>
        <v>סט 4 טושים סימון פרמננטי פנטל ) 70 כחול, שחור, א</v>
      </c>
      <c r="C489" s="7">
        <v>7.9640000000000013</v>
      </c>
      <c r="D489" s="2"/>
    </row>
    <row r="490" spans="1:4" x14ac:dyDescent="0.2">
      <c r="A490" s="2">
        <v>487</v>
      </c>
      <c r="B490" s="2" t="str">
        <f>"סט 4 טושים סימון פרמננטי פנטל ) 90 כחול, שחור, א"</f>
        <v>סט 4 טושים סימון פרמננטי פנטל ) 90 כחול, שחור, א</v>
      </c>
      <c r="C490" s="7">
        <v>7.6020000000000003</v>
      </c>
      <c r="D490" s="2"/>
    </row>
    <row r="491" spans="1:4" x14ac:dyDescent="0.2">
      <c r="A491" s="2">
        <v>488</v>
      </c>
      <c r="B491" s="2" t="str">
        <f>"אקדח סיכות תואם רפיד- 13/8"</f>
        <v>אקדח סיכות תואם רפיד- 13/8</v>
      </c>
      <c r="C491" s="7">
        <v>29.865000000000002</v>
      </c>
      <c r="D491" s="2"/>
    </row>
    <row r="492" spans="1:4" x14ac:dyDescent="0.2">
      <c r="A492" s="2">
        <v>489</v>
      </c>
      <c r="B492" s="2" t="str">
        <f>"טוש ללוח מחיק ארטי - 70 ירוק"</f>
        <v>טוש ללוח מחיק ארטי - 70 ירוק</v>
      </c>
      <c r="C492" s="7">
        <v>1.3937000000000002</v>
      </c>
      <c r="D492" s="2"/>
    </row>
    <row r="493" spans="1:4" x14ac:dyDescent="0.2">
      <c r="A493" s="2">
        <v>490</v>
      </c>
      <c r="B493" s="2" t="str">
        <f>"דף לכריכה דמוי עור קרם (חב')"</f>
        <v>דף לכריכה דמוי עור קרם (חב')</v>
      </c>
      <c r="C493" s="7">
        <v>26.245000000000001</v>
      </c>
      <c r="D493" s="2"/>
    </row>
    <row r="494" spans="1:4" x14ac:dyDescent="0.2">
      <c r="A494" s="2">
        <v>491</v>
      </c>
      <c r="B494" s="2" t="str">
        <f>"טוש סימון לשקפים דק  צבע שחורM"</f>
        <v>טוש סימון לשקפים דק  צבע שחורM</v>
      </c>
      <c r="C494" s="7">
        <v>1.629</v>
      </c>
      <c r="D494" s="2"/>
    </row>
    <row r="495" spans="1:4" x14ac:dyDescent="0.2">
      <c r="A495" s="2">
        <v>492</v>
      </c>
      <c r="B495" s="2" t="str">
        <f>"טוש סימון לשקפים דק  צבע כחולM"</f>
        <v>טוש סימון לשקפים דק  צבע כחולM</v>
      </c>
      <c r="C495" s="7">
        <v>1.8371499999999998</v>
      </c>
      <c r="D495" s="2"/>
    </row>
    <row r="496" spans="1:4" x14ac:dyDescent="0.2">
      <c r="A496" s="2">
        <v>493</v>
      </c>
      <c r="B496" s="2" t="str">
        <f>"סט 4 טוש מחיק ארטי-90"</f>
        <v>סט 4 טוש מחיק ארטי-90</v>
      </c>
      <c r="C496" s="7">
        <v>7.6924999999999999</v>
      </c>
      <c r="D496" s="2"/>
    </row>
    <row r="497" spans="1:4" x14ac:dyDescent="0.2">
      <c r="A497" s="2">
        <v>494</v>
      </c>
      <c r="B497" s="2" t="str">
        <f>"סט 12 טושים איכותיים ארטי על בסיס מים"</f>
        <v>סט 12 טושים איכותיים ארטי על בסיס מים</v>
      </c>
      <c r="C497" s="7">
        <v>3.2942</v>
      </c>
      <c r="D497" s="2"/>
    </row>
    <row r="498" spans="1:4" x14ac:dyDescent="0.2">
      <c r="A498" s="2">
        <v>495</v>
      </c>
      <c r="B498" s="2" t="str">
        <f>"טוש סימון לשקפים שטדלרS313 שחור*"</f>
        <v>טוש סימון לשקפים שטדלרS313 שחור*</v>
      </c>
      <c r="C498" s="7">
        <v>3.4842500000000003</v>
      </c>
      <c r="D498" s="2"/>
    </row>
    <row r="499" spans="1:4" x14ac:dyDescent="0.2">
      <c r="A499" s="2">
        <v>496</v>
      </c>
      <c r="B499" s="2" t="str">
        <f>"עט סימון לשקפים שטדלר S313כחול עובי 0.4"</f>
        <v>עט סימון לשקפים שטדלר S313כחול עובי 0.4</v>
      </c>
      <c r="C499" s="7">
        <v>3.4842500000000003</v>
      </c>
      <c r="D499" s="2"/>
    </row>
    <row r="500" spans="1:4" x14ac:dyDescent="0.2">
      <c r="A500" s="2">
        <v>497</v>
      </c>
      <c r="B500" s="2" t="str">
        <f>"טוש סימון לשקפים שטדלרS313 אדום"</f>
        <v>טוש סימון לשקפים שטדלרS313 אדום</v>
      </c>
      <c r="C500" s="7">
        <v>3.4842500000000003</v>
      </c>
      <c r="D500" s="2"/>
    </row>
    <row r="501" spans="1:4" x14ac:dyDescent="0.2">
      <c r="A501" s="2">
        <v>498</v>
      </c>
      <c r="B501" s="2" t="str">
        <f>"טוש סימון לשקפים שטדלרS313 ירוק"</f>
        <v>טוש סימון לשקפים שטדלרS313 ירוק</v>
      </c>
      <c r="C501" s="7">
        <v>3.4842500000000003</v>
      </c>
      <c r="D501" s="2"/>
    </row>
    <row r="502" spans="1:4" x14ac:dyDescent="0.2">
      <c r="A502" s="2">
        <v>499</v>
      </c>
      <c r="B502" s="2" t="str">
        <f>"טוש סימון לשקפים שטדלרF318 שחור"</f>
        <v>טוש סימון לשקפים שטדלרF318 שחור</v>
      </c>
      <c r="C502" s="7">
        <v>3.4842500000000003</v>
      </c>
      <c r="D502" s="2"/>
    </row>
    <row r="503" spans="1:4" x14ac:dyDescent="0.2">
      <c r="A503" s="2">
        <v>500</v>
      </c>
      <c r="B503" s="2" t="str">
        <f>"עט סימון לשקפים שטדלר F318כחול עובי 0.8"</f>
        <v>עט סימון לשקפים שטדלר F318כחול עובי 0.8</v>
      </c>
      <c r="C503" s="7">
        <v>3.4842500000000003</v>
      </c>
      <c r="D503" s="2"/>
    </row>
    <row r="504" spans="1:4" x14ac:dyDescent="0.2">
      <c r="A504" s="2">
        <v>501</v>
      </c>
      <c r="B504" s="2" t="str">
        <f>"טוש סימון לשקפים שטדלרF318 אדום"</f>
        <v>טוש סימון לשקפים שטדלרF318 אדום</v>
      </c>
      <c r="C504" s="7">
        <v>3.4842500000000003</v>
      </c>
      <c r="D504" s="2"/>
    </row>
    <row r="505" spans="1:4" x14ac:dyDescent="0.2">
      <c r="A505" s="2">
        <v>502</v>
      </c>
      <c r="B505" s="2" t="str">
        <f>"טוש סימון לשקפים שטדלרF318 ירוק"</f>
        <v>טוש סימון לשקפים שטדלרF318 ירוק</v>
      </c>
      <c r="C505" s="7">
        <v>3.4842500000000003</v>
      </c>
      <c r="D505" s="2"/>
    </row>
    <row r="506" spans="1:4" x14ac:dyDescent="0.2">
      <c r="A506" s="2">
        <v>503</v>
      </c>
      <c r="B506" s="2" t="str">
        <f>"טוש סימון לשקפים שטדלרM317 שחור"</f>
        <v>טוש סימון לשקפים שטדלרM317 שחור</v>
      </c>
      <c r="C506" s="7">
        <v>3.4842500000000003</v>
      </c>
      <c r="D506" s="2"/>
    </row>
    <row r="507" spans="1:4" x14ac:dyDescent="0.2">
      <c r="A507" s="2">
        <v>504</v>
      </c>
      <c r="B507" s="2" t="str">
        <f>"טוש סימון לשקפים שטדלרM317 כחול"</f>
        <v>טוש סימון לשקפים שטדלרM317 כחול</v>
      </c>
      <c r="C507" s="7">
        <v>3.4842500000000003</v>
      </c>
      <c r="D507" s="2"/>
    </row>
    <row r="508" spans="1:4" x14ac:dyDescent="0.2">
      <c r="A508" s="2">
        <v>505</v>
      </c>
      <c r="B508" s="2" t="str">
        <f>"טוש סימון לשקפים שטדלרM317 אדום עובי 1.0"</f>
        <v>טוש סימון לשקפים שטדלרM317 אדום עובי 1.0</v>
      </c>
      <c r="C508" s="7">
        <v>3.4842500000000003</v>
      </c>
      <c r="D508" s="2"/>
    </row>
    <row r="509" spans="1:4" x14ac:dyDescent="0.2">
      <c r="A509" s="2">
        <v>506</v>
      </c>
      <c r="B509" s="2" t="str">
        <f>"טוש סימון לשקפים שטדלרM317 ירוק"</f>
        <v>טוש סימון לשקפים שטדלרM317 ירוק</v>
      </c>
      <c r="C509" s="7">
        <v>3.4842500000000003</v>
      </c>
      <c r="D509" s="2"/>
    </row>
    <row r="510" spans="1:4" x14ac:dyDescent="0.2">
      <c r="A510" s="2">
        <v>507</v>
      </c>
      <c r="B510" s="2" t="str">
        <f>"טוש סימון לשקפים שטדלרB314 שחור"</f>
        <v>טוש סימון לשקפים שטדלרB314 שחור</v>
      </c>
      <c r="C510" s="7">
        <v>3.4842500000000003</v>
      </c>
      <c r="D510" s="2"/>
    </row>
    <row r="511" spans="1:4" x14ac:dyDescent="0.2">
      <c r="A511" s="2">
        <v>508</v>
      </c>
      <c r="B511" s="2" t="str">
        <f>"טוש סימון לשקפים שטדלרB314 כחול עובי 1.2"</f>
        <v>טוש סימון לשקפים שטדלרB314 כחול עובי 1.2</v>
      </c>
      <c r="C511" s="7">
        <v>3.4842500000000003</v>
      </c>
      <c r="D511" s="2"/>
    </row>
    <row r="512" spans="1:4" x14ac:dyDescent="0.2">
      <c r="A512" s="2">
        <v>509</v>
      </c>
      <c r="B512" s="2" t="str">
        <f>"טוש סימון לשקפים שטדלרB314 אדום"</f>
        <v>טוש סימון לשקפים שטדלרB314 אדום</v>
      </c>
      <c r="C512" s="7">
        <v>3.4842500000000003</v>
      </c>
      <c r="D512" s="2"/>
    </row>
    <row r="513" spans="1:4" x14ac:dyDescent="0.2">
      <c r="A513" s="2">
        <v>510</v>
      </c>
      <c r="B513" s="2" t="str">
        <f>"טוש סימון לשקפים שטדלרB314 ירוק"</f>
        <v>טוש סימון לשקפים שטדלרB314 ירוק</v>
      </c>
      <c r="C513" s="7">
        <v>3.4842500000000003</v>
      </c>
      <c r="D513" s="2"/>
    </row>
    <row r="514" spans="1:4" x14ac:dyDescent="0.2">
      <c r="A514" s="2">
        <v>511</v>
      </c>
      <c r="B514" s="2" t="str">
        <f>"סט 4 יח' עט לשקפים שטדלר *S313"</f>
        <v>סט 4 יח' עט לשקפים שטדלר *S313</v>
      </c>
      <c r="C514" s="7">
        <v>12.67</v>
      </c>
      <c r="D514" s="2"/>
    </row>
    <row r="515" spans="1:4" x14ac:dyDescent="0.2">
      <c r="A515" s="2">
        <v>512</v>
      </c>
      <c r="B515" s="2" t="str">
        <f>"סט8 יח 'עט לשקפים שטדלרF318"</f>
        <v>סט8 יח 'עט לשקפים שטדלרF318</v>
      </c>
      <c r="C515" s="7">
        <v>24.073</v>
      </c>
      <c r="D515" s="2"/>
    </row>
    <row r="516" spans="1:4" x14ac:dyDescent="0.2">
      <c r="A516" s="2">
        <v>513</v>
      </c>
      <c r="B516" s="2" t="str">
        <f>"טוש מחיק- EXPO SANFORD שחור דק"</f>
        <v>טוש מחיק- EXPO SANFORD שחור דק</v>
      </c>
      <c r="C516" s="7">
        <v>2.9774500000000002</v>
      </c>
      <c r="D516" s="2"/>
    </row>
    <row r="517" spans="1:4" x14ac:dyDescent="0.2">
      <c r="A517" s="2">
        <v>514</v>
      </c>
      <c r="B517" s="2" t="str">
        <f>"טוש מחיק EXPO  דק - כחול"</f>
        <v>טוש מחיק EXPO  דק - כחול</v>
      </c>
      <c r="C517" s="7">
        <v>2.9774500000000002</v>
      </c>
      <c r="D517" s="2"/>
    </row>
    <row r="518" spans="1:4" x14ac:dyDescent="0.2">
      <c r="A518" s="2">
        <v>515</v>
      </c>
      <c r="B518" s="2" t="str">
        <f>"טוש מחיק EXPO דק - אדום"</f>
        <v>טוש מחיק EXPO דק - אדום</v>
      </c>
      <c r="C518" s="7">
        <v>2.9774500000000002</v>
      </c>
      <c r="D518" s="2"/>
    </row>
    <row r="519" spans="1:4" x14ac:dyDescent="0.2">
      <c r="A519" s="2">
        <v>516</v>
      </c>
      <c r="B519" s="2" t="str">
        <f>"טוש מחיקEXPO SANSORD עגול כחול"</f>
        <v>טוש מחיקEXPO SANSORD עגול כחול</v>
      </c>
      <c r="C519" s="7">
        <v>2.9774500000000002</v>
      </c>
      <c r="D519" s="2"/>
    </row>
    <row r="520" spans="1:4" x14ac:dyDescent="0.2">
      <c r="A520" s="2">
        <v>517</v>
      </c>
      <c r="B520" s="2" t="str">
        <f>"טוש מחיקEXPO SANSORD עגול שחור"</f>
        <v>טוש מחיקEXPO SANSORD עגול שחור</v>
      </c>
      <c r="C520" s="7">
        <v>2.9774500000000002</v>
      </c>
      <c r="D520" s="2"/>
    </row>
    <row r="521" spans="1:4" x14ac:dyDescent="0.2">
      <c r="A521" s="2">
        <v>518</v>
      </c>
      <c r="B521" s="2" t="str">
        <f>"טוש מחיקEXPO SANFORD עגול אדום"</f>
        <v>טוש מחיקEXPO SANFORD עגול אדום</v>
      </c>
      <c r="C521" s="7">
        <v>2.9774500000000002</v>
      </c>
      <c r="D521" s="2"/>
    </row>
    <row r="522" spans="1:4" x14ac:dyDescent="0.2">
      <c r="A522" s="2">
        <v>519</v>
      </c>
      <c r="B522" s="2" t="str">
        <f>"טוש מחיקEXPO SANFORD עגול ירוק"</f>
        <v>טוש מחיקEXPO SANFORD עגול ירוק</v>
      </c>
      <c r="C522" s="7">
        <v>2.9774500000000002</v>
      </c>
      <c r="D522" s="2"/>
    </row>
    <row r="523" spans="1:4" x14ac:dyDescent="0.2">
      <c r="A523" s="2">
        <v>520</v>
      </c>
      <c r="B523" s="2" t="str">
        <f>"טוש מחיקEXPO SANFORD עבה שטוח שחור*"</f>
        <v>טוש מחיקEXPO SANFORD עבה שטוח שחור*</v>
      </c>
      <c r="C523" s="7">
        <v>2.9774500000000002</v>
      </c>
      <c r="D523" s="2"/>
    </row>
    <row r="524" spans="1:4" x14ac:dyDescent="0.2">
      <c r="A524" s="2">
        <v>521</v>
      </c>
      <c r="B524" s="2" t="str">
        <f>"טוש מחיק EXPO SANFORDעבה- שטוח - כחול"</f>
        <v>טוש מחיק EXPO SANFORDעבה- שטוח - כחול</v>
      </c>
      <c r="C524" s="7">
        <v>2.9774500000000002</v>
      </c>
      <c r="D524" s="2"/>
    </row>
    <row r="525" spans="1:4" x14ac:dyDescent="0.2">
      <c r="A525" s="2">
        <v>522</v>
      </c>
      <c r="B525" s="2" t="str">
        <f>"טוש מחיקEXPO SANFORD עבה - שטוח - אדום"</f>
        <v>טוש מחיקEXPO SANFORD עבה - שטוח - אדום</v>
      </c>
      <c r="C525" s="7">
        <v>2.9774500000000002</v>
      </c>
      <c r="D525" s="2"/>
    </row>
    <row r="526" spans="1:4" x14ac:dyDescent="0.2">
      <c r="A526" s="2">
        <v>523</v>
      </c>
      <c r="B526" s="2" t="str">
        <f>"טוש מחיקEXPO SANFORD עבה - שטוח - ירוק"</f>
        <v>טוש מחיקEXPO SANFORD עבה - שטוח - ירוק</v>
      </c>
      <c r="C526" s="7">
        <v>2.9774500000000002</v>
      </c>
      <c r="D526" s="2"/>
    </row>
    <row r="527" spans="1:4" x14ac:dyDescent="0.2">
      <c r="A527" s="2">
        <v>524</v>
      </c>
      <c r="B527" s="2" t="str">
        <f>"טוש מחיקEXPO SANFORD עבה -שטוח - כתום"</f>
        <v>טוש מחיקEXPO SANFORD עבה -שטוח - כתום</v>
      </c>
      <c r="C527" s="7">
        <v>2.9774500000000002</v>
      </c>
      <c r="D527" s="2"/>
    </row>
    <row r="528" spans="1:4" x14ac:dyDescent="0.2">
      <c r="A528" s="2">
        <v>525</v>
      </c>
      <c r="B528" s="2" t="str">
        <f>"טוש מחיקEXPO SANSORD עבה שטוח סגול"</f>
        <v>טוש מחיקEXPO SANSORD עבה שטוח סגול</v>
      </c>
      <c r="C528" s="7">
        <v>2.9774500000000002</v>
      </c>
      <c r="D528" s="2"/>
    </row>
    <row r="529" spans="1:4" x14ac:dyDescent="0.2">
      <c r="A529" s="2">
        <v>526</v>
      </c>
      <c r="B529" s="2" t="str">
        <f>"סט 8 יח' טוש מחיק EXPO SANFORD עבה -שטוח"</f>
        <v>סט 8 יח' טוש מחיק EXPO SANFORD עבה -שטוח</v>
      </c>
      <c r="C529" s="7">
        <v>23.439499999999999</v>
      </c>
      <c r="D529" s="2"/>
    </row>
    <row r="530" spans="1:4" x14ac:dyDescent="0.2">
      <c r="A530" s="2">
        <v>527</v>
      </c>
      <c r="B530" s="2" t="str">
        <f>"טוש מחיקEXPO SANFORD עבה עגול סט ((4"</f>
        <v>טוש מחיקEXPO SANFORD עבה עגול סט ((4</v>
      </c>
      <c r="C530" s="7">
        <v>14.2628</v>
      </c>
      <c r="D530" s="2"/>
    </row>
    <row r="531" spans="1:4" x14ac:dyDescent="0.2">
      <c r="A531" s="2">
        <v>528</v>
      </c>
      <c r="B531" s="2" t="str">
        <f>"סט אורגנייזר 6 *צבעים ראש קטוע מחיקון ללוח EXPO"</f>
        <v>סט אורגנייזר 6 *צבעים ראש קטוע מחיקון ללוח EXPO</v>
      </c>
      <c r="C531" s="7">
        <v>29.865000000000002</v>
      </c>
      <c r="D531" s="2"/>
    </row>
    <row r="532" spans="1:4" x14ac:dyDescent="0.2">
      <c r="A532" s="2">
        <v>529</v>
      </c>
      <c r="B532" s="2" t="str">
        <f>"עפרון מכני רוטרינג 1.0 TIKKY"</f>
        <v>עפרון מכני רוטרינג 1.0 TIKKY</v>
      </c>
      <c r="C532" s="7">
        <v>13.937000000000001</v>
      </c>
      <c r="D532" s="2"/>
    </row>
    <row r="533" spans="1:4" x14ac:dyDescent="0.2">
      <c r="A533" s="2">
        <v>530</v>
      </c>
      <c r="B533" s="2" t="str">
        <f>"עפרון קרביץ + מחק 12 יח'"</f>
        <v>עפרון קרביץ + מחק 12 יח'</v>
      </c>
      <c r="C533" s="7">
        <v>1.629</v>
      </c>
      <c r="D533" s="2"/>
    </row>
    <row r="534" spans="1:4" x14ac:dyDescent="0.2">
      <c r="A534" s="2">
        <v>531</v>
      </c>
      <c r="B534" s="2" t="str">
        <f>"עופרות רוטרינג 12 בשפ'HB 0.5"</f>
        <v>עופרות רוטרינג 12 בשפ'HB 0.5</v>
      </c>
      <c r="C534" s="7">
        <v>3.258</v>
      </c>
      <c r="D534" s="2"/>
    </row>
    <row r="535" spans="1:4" x14ac:dyDescent="0.2">
      <c r="A535" s="2">
        <v>532</v>
      </c>
      <c r="B535" s="2" t="str">
        <f>"עופרות רוטרינג 12 בשפ'HB0.7"</f>
        <v>עופרות רוטרינג 12 בשפ'HB0.7</v>
      </c>
      <c r="C535" s="7">
        <v>1.629</v>
      </c>
      <c r="D535" s="2"/>
    </row>
    <row r="536" spans="1:4" x14ac:dyDescent="0.2">
      <c r="A536" s="2">
        <v>533</v>
      </c>
      <c r="B536" s="2" t="str">
        <f>"עט לבדSTABILO פוינט88/46 שחור*"</f>
        <v>עט לבדSTABILO פוינט88/46 שחור*</v>
      </c>
      <c r="C536" s="7">
        <v>1.629</v>
      </c>
      <c r="D536" s="2"/>
    </row>
    <row r="537" spans="1:4" x14ac:dyDescent="0.2">
      <c r="A537" s="2">
        <v>534</v>
      </c>
      <c r="B537" s="2" t="str">
        <f>"עט לבדSTABILO פוינט88 בסט1/10"</f>
        <v>עט לבדSTABILO פוינט88 בסט1/10</v>
      </c>
      <c r="C537" s="7">
        <v>22.806000000000001</v>
      </c>
      <c r="D537" s="2"/>
    </row>
    <row r="538" spans="1:4" x14ac:dyDescent="0.2">
      <c r="A538" s="2">
        <v>535</v>
      </c>
      <c r="B538" s="2" t="str">
        <f>"נוזל מחיקה אקולוגי ארטי"</f>
        <v>נוזל מחיקה אקולוגי ארטי</v>
      </c>
      <c r="C538" s="7">
        <v>0.75114999999999998</v>
      </c>
      <c r="D538" s="2"/>
    </row>
    <row r="539" spans="1:4" x14ac:dyDescent="0.2">
      <c r="A539" s="2">
        <v>536</v>
      </c>
      <c r="B539" s="2" t="str">
        <f>"נוזל מחיקה TIPPEX"</f>
        <v>נוזל מחיקה TIPPEX</v>
      </c>
      <c r="C539" s="7">
        <v>3.1675</v>
      </c>
      <c r="D539" s="2"/>
    </row>
    <row r="540" spans="1:4" x14ac:dyDescent="0.2">
      <c r="A540" s="2">
        <v>537</v>
      </c>
      <c r="B540" s="2" t="str">
        <f>"נוזל מחיקה פליקן"</f>
        <v>נוזל מחיקה פליקן</v>
      </c>
      <c r="C540" s="7">
        <v>2.0814999999999997</v>
      </c>
      <c r="D540" s="2"/>
    </row>
    <row r="541" spans="1:4" x14ac:dyDescent="0.2">
      <c r="A541" s="2">
        <v>538</v>
      </c>
      <c r="B541" s="2" t="str">
        <f>"טוש סימון פרמננטי פנטל 90 שחור *N860-AO"</f>
        <v>טוש סימון פרמננטי פנטל 90 שחור *N860-AO</v>
      </c>
      <c r="C541" s="7">
        <v>1.9005000000000001</v>
      </c>
      <c r="D541" s="2"/>
    </row>
    <row r="542" spans="1:4" x14ac:dyDescent="0.2">
      <c r="A542" s="2">
        <v>539</v>
      </c>
      <c r="B542" s="2" t="str">
        <f>"טוש סימון פרמננטי פנטל 90 כחול N860-CO"</f>
        <v>טוש סימון פרמננטי פנטל 90 כחול N860-CO</v>
      </c>
      <c r="C542" s="7">
        <v>1.9005000000000001</v>
      </c>
      <c r="D542" s="2"/>
    </row>
    <row r="543" spans="1:4" x14ac:dyDescent="0.2">
      <c r="A543" s="2">
        <v>540</v>
      </c>
      <c r="B543" s="2" t="str">
        <f>"טוש סימון פרמננטי פנטל 90 אדום N860-BO"</f>
        <v>טוש סימון פרמננטי פנטל 90 אדום N860-BO</v>
      </c>
      <c r="C543" s="7">
        <v>1.9005000000000001</v>
      </c>
      <c r="D543" s="2"/>
    </row>
    <row r="544" spans="1:4" x14ac:dyDescent="0.2">
      <c r="A544" s="2">
        <v>541</v>
      </c>
      <c r="B544" s="2" t="str">
        <f>"טוש סימון פרמננטי פנטל 90 ירוק N860-DO"</f>
        <v>טוש סימון פרמננטי פנטל 90 ירוק N860-DO</v>
      </c>
      <c r="C544" s="7">
        <v>1.9005000000000001</v>
      </c>
      <c r="D544" s="2"/>
    </row>
    <row r="545" spans="1:4" x14ac:dyDescent="0.2">
      <c r="A545" s="2">
        <v>542</v>
      </c>
      <c r="B545" s="2" t="str">
        <f>"טוש סימון פרמננטי פנטל 70 שחור N850-AO"</f>
        <v>טוש סימון פרמננטי פנטל 70 שחור N850-AO</v>
      </c>
      <c r="C545" s="7">
        <v>1.9005000000000001</v>
      </c>
      <c r="D545" s="2"/>
    </row>
    <row r="546" spans="1:4" x14ac:dyDescent="0.2">
      <c r="A546" s="2">
        <v>543</v>
      </c>
      <c r="B546" s="2" t="str">
        <f>"טוש סימון פרמננטי פנטל 70 כחול N850-CO"</f>
        <v>טוש סימון פרמננטי פנטל 70 כחול N850-CO</v>
      </c>
      <c r="C546" s="7">
        <v>1.9005000000000001</v>
      </c>
      <c r="D546" s="2"/>
    </row>
    <row r="547" spans="1:4" x14ac:dyDescent="0.2">
      <c r="A547" s="2">
        <v>544</v>
      </c>
      <c r="B547" s="2" t="str">
        <f>"טוש סימון פרמננטי פנטל 70 אדום N850-BO"</f>
        <v>טוש סימון פרמננטי פנטל 70 אדום N850-BO</v>
      </c>
      <c r="C547" s="7">
        <v>1.9005000000000001</v>
      </c>
      <c r="D547" s="2"/>
    </row>
    <row r="548" spans="1:4" x14ac:dyDescent="0.2">
      <c r="A548" s="2">
        <v>545</v>
      </c>
      <c r="B548" s="2" t="str">
        <f>"טוש סימון פרמננטי פנטל 70 ירוק N850-DO"</f>
        <v>טוש סימון פרמננטי פנטל 70 ירוק N850-DO</v>
      </c>
      <c r="C548" s="7">
        <v>1.9005000000000001</v>
      </c>
      <c r="D548" s="2"/>
    </row>
    <row r="549" spans="1:4" x14ac:dyDescent="0.2">
      <c r="A549" s="2">
        <v>546</v>
      </c>
      <c r="B549" s="2" t="str">
        <f>"טוש מחיק פנטל 70 שחור *MW85-AO"</f>
        <v>טוש מחיק פנטל 70 שחור *MW85-AO</v>
      </c>
      <c r="C549" s="7">
        <v>1.9910000000000003</v>
      </c>
      <c r="D549" s="2"/>
    </row>
    <row r="550" spans="1:4" x14ac:dyDescent="0.2">
      <c r="A550" s="2">
        <v>547</v>
      </c>
      <c r="B550" s="2" t="str">
        <f>"טוש מחיק פנטל 70 אדום MW85-BO"</f>
        <v>טוש מחיק פנטל 70 אדום MW85-BO</v>
      </c>
      <c r="C550" s="7">
        <v>1.9910000000000003</v>
      </c>
      <c r="D550" s="2"/>
    </row>
    <row r="551" spans="1:4" x14ac:dyDescent="0.2">
      <c r="A551" s="2">
        <v>548</v>
      </c>
      <c r="B551" s="2" t="str">
        <f>"טוש מחיק פנטל 70 כחול MW85-CO"</f>
        <v>טוש מחיק פנטל 70 כחול MW85-CO</v>
      </c>
      <c r="C551" s="7">
        <v>1.9910000000000003</v>
      </c>
      <c r="D551" s="2"/>
    </row>
    <row r="552" spans="1:4" x14ac:dyDescent="0.2">
      <c r="A552" s="2">
        <v>549</v>
      </c>
      <c r="B552" s="2" t="str">
        <f>"טוש מחיק פנטל 70 ירוק MW85-DO"</f>
        <v>טוש מחיק פנטל 70 ירוק MW85-DO</v>
      </c>
      <c r="C552" s="7">
        <v>1.9910000000000003</v>
      </c>
      <c r="D552" s="2"/>
    </row>
    <row r="553" spans="1:4" x14ac:dyDescent="0.2">
      <c r="A553" s="2">
        <v>550</v>
      </c>
      <c r="B553" s="2" t="str">
        <f>"טוש מחיק פנטל 90 שחור MW86-AO"</f>
        <v>טוש מחיק פנטל 90 שחור MW86-AO</v>
      </c>
      <c r="C553" s="7">
        <v>1.9910000000000003</v>
      </c>
      <c r="D553" s="2"/>
    </row>
    <row r="554" spans="1:4" x14ac:dyDescent="0.2">
      <c r="A554" s="2">
        <v>551</v>
      </c>
      <c r="B554" s="2" t="str">
        <f>"טוש מחיק פנטל 90 אדום MW86-BO"</f>
        <v>טוש מחיק פנטל 90 אדום MW86-BO</v>
      </c>
      <c r="C554" s="7">
        <v>1.9910000000000003</v>
      </c>
      <c r="D554" s="2"/>
    </row>
    <row r="555" spans="1:4" x14ac:dyDescent="0.2">
      <c r="A555" s="2">
        <v>552</v>
      </c>
      <c r="B555" s="2" t="str">
        <f>"טוש מחיק פנטל 90 כחול MW86-CO"</f>
        <v>טוש מחיק פנטל 90 כחול MW86-CO</v>
      </c>
      <c r="C555" s="7">
        <v>1.9910000000000003</v>
      </c>
      <c r="D555" s="2"/>
    </row>
    <row r="556" spans="1:4" x14ac:dyDescent="0.2">
      <c r="A556" s="2">
        <v>553</v>
      </c>
      <c r="B556" s="2" t="str">
        <f>"טוש מחיק פנטל 90 ירוק MW86-DO"</f>
        <v>טוש מחיק פנטל 90 ירוק MW86-DO</v>
      </c>
      <c r="C556" s="7">
        <v>1.9910000000000003</v>
      </c>
      <c r="D556" s="2"/>
    </row>
    <row r="557" spans="1:4" x14ac:dyDescent="0.2">
      <c r="A557" s="2">
        <v>554</v>
      </c>
      <c r="B557" s="2" t="str">
        <f>"סט 4 טוש מחיק פנטל MW85 70"</f>
        <v>סט 4 טוש מחיק פנטל MW85 70</v>
      </c>
      <c r="C557" s="7">
        <v>11.403</v>
      </c>
      <c r="D557" s="2"/>
    </row>
    <row r="558" spans="1:4" x14ac:dyDescent="0.2">
      <c r="A558" s="2">
        <v>555</v>
      </c>
      <c r="B558" s="2" t="str">
        <f>"טוש עבה שחור פנטל M-180"</f>
        <v>טוש עבה שחור פנטל M-180</v>
      </c>
      <c r="C558" s="7">
        <v>9.2309999999999999</v>
      </c>
      <c r="D558" s="2"/>
    </row>
    <row r="559" spans="1:4" x14ac:dyDescent="0.2">
      <c r="A559" s="2">
        <v>556</v>
      </c>
      <c r="B559" s="2" t="str">
        <f>"טוש עבה כחול פנטל M-180"</f>
        <v>טוש עבה כחול פנטל M-180</v>
      </c>
      <c r="C559" s="7">
        <v>11.656400000000001</v>
      </c>
      <c r="D559" s="2"/>
    </row>
    <row r="560" spans="1:4" x14ac:dyDescent="0.2">
      <c r="A560" s="2">
        <v>557</v>
      </c>
      <c r="B560" s="2" t="str">
        <f>"טוש עבה אדום פנטל M-180"</f>
        <v>טוש עבה אדום פנטל M-180</v>
      </c>
      <c r="C560" s="7">
        <v>11.656400000000001</v>
      </c>
      <c r="D560" s="2"/>
    </row>
    <row r="561" spans="1:4" x14ac:dyDescent="0.2">
      <c r="A561" s="2">
        <v>558</v>
      </c>
      <c r="B561" s="2" t="str">
        <f>"טוש סימון פרמננטי פנטל 70 שחור ראש עגול N50-A"</f>
        <v>טוש סימון פרמננטי פנטל 70 שחור ראש עגול N50-A</v>
      </c>
      <c r="C561" s="7">
        <v>2.9864999999999999</v>
      </c>
      <c r="D561" s="2"/>
    </row>
    <row r="562" spans="1:4" x14ac:dyDescent="0.2">
      <c r="A562" s="2">
        <v>559</v>
      </c>
      <c r="B562" s="2" t="str">
        <f>"טוש הדגשה 490 PELIKAN בסט 6 יח'"</f>
        <v>טוש הדגשה 490 PELIKAN בסט 6 יח'</v>
      </c>
      <c r="C562" s="7">
        <v>11.3125</v>
      </c>
      <c r="D562" s="2"/>
    </row>
    <row r="563" spans="1:4" x14ac:dyDescent="0.2">
      <c r="A563" s="2">
        <v>560</v>
      </c>
      <c r="B563" s="2" t="str">
        <f>"עט לחצן כדורי פידה (10 י""ח)"</f>
        <v>עט לחצן כדורי פידה (10 י"ח)</v>
      </c>
      <c r="C563" s="7">
        <v>7.6020000000000003</v>
      </c>
      <c r="D563" s="2"/>
    </row>
    <row r="564" spans="1:4" x14ac:dyDescent="0.2">
      <c r="A564" s="2">
        <v>561</v>
      </c>
      <c r="B564" s="2" t="str">
        <f>"טוש הדגשה 490 PELIKAN  בסט 4 יח'"</f>
        <v>טוש הדגשה 490 PELIKAN  בסט 4 יח'</v>
      </c>
      <c r="C564" s="7">
        <v>8.9595000000000002</v>
      </c>
      <c r="D564" s="2"/>
    </row>
    <row r="565" spans="1:4" x14ac:dyDescent="0.2">
      <c r="A565" s="2">
        <v>562</v>
      </c>
      <c r="B565" s="2" t="str">
        <f>"עט מחיקה פנטל מלבני ראש מתכת"</f>
        <v>עט מחיקה פנטל מלבני ראש מתכת</v>
      </c>
      <c r="C565" s="7">
        <v>5.2489999999999997</v>
      </c>
      <c r="D565" s="2"/>
    </row>
    <row r="566" spans="1:4" x14ac:dyDescent="0.2">
      <c r="A566" s="2">
        <v>563</v>
      </c>
      <c r="B566" s="2" t="str">
        <f>"עט דלפק+ שרשרת מתכת ((900303"</f>
        <v>עט דלפק+ שרשרת מתכת ((900303</v>
      </c>
      <c r="C566" s="7">
        <v>5.3395000000000001</v>
      </c>
      <c r="D566" s="2"/>
    </row>
    <row r="567" spans="1:4" x14ac:dyDescent="0.2">
      <c r="A567" s="2">
        <v>564</v>
      </c>
      <c r="B567" s="2" t="str">
        <f>"מחק לבן פשוט ( קופ' של 30 יח')"</f>
        <v>מחק לבן פשוט ( קופ' של 30 יח')</v>
      </c>
      <c r="C567" s="7">
        <v>6.7875000000000005</v>
      </c>
      <c r="D567" s="2"/>
    </row>
    <row r="568" spans="1:4" x14ac:dyDescent="0.2">
      <c r="A568" s="2">
        <v>565</v>
      </c>
      <c r="B568" s="2" t="str">
        <f>"טוש  ארטליין70 בקופסא מעורבת (12 יחידות בחבילה)"</f>
        <v>טוש  ארטליין70 בקופסא מעורבת (12 יחידות בחבילה)</v>
      </c>
      <c r="C568" s="7">
        <v>41.177500000000002</v>
      </c>
      <c r="D568" s="2"/>
    </row>
    <row r="569" spans="1:4" x14ac:dyDescent="0.2">
      <c r="A569" s="2">
        <v>566</v>
      </c>
      <c r="B569" s="2" t="str">
        <f>"טוש  ארטליין90 בקופסא מעורבת (12 יחידות בחבילה)"</f>
        <v>טוש  ארטליין90 בקופסא מעורבת (12 יחידות בחבילה)</v>
      </c>
      <c r="C569" s="7">
        <v>38.01</v>
      </c>
      <c r="D569" s="2"/>
    </row>
    <row r="570" spans="1:4" x14ac:dyDescent="0.2">
      <c r="A570" s="2">
        <v>567</v>
      </c>
      <c r="B570" s="2" t="str">
        <f>"טוש  ארטליין700 עט סימון נתלה אדום"</f>
        <v>טוש  ארטליין700 עט סימון נתלה אדום</v>
      </c>
      <c r="C570" s="7">
        <v>4.4797500000000001</v>
      </c>
      <c r="D570" s="2"/>
    </row>
    <row r="571" spans="1:4" x14ac:dyDescent="0.2">
      <c r="A571" s="2">
        <v>568</v>
      </c>
      <c r="B571" s="2" t="str">
        <f>"טוש  ארטליין700 עט סימון נתלה כחול"</f>
        <v>טוש  ארטליין700 עט סימון נתלה כחול</v>
      </c>
      <c r="C571" s="7">
        <v>4.4797500000000001</v>
      </c>
      <c r="D571" s="2"/>
    </row>
    <row r="572" spans="1:4" x14ac:dyDescent="0.2">
      <c r="A572" s="2">
        <v>569</v>
      </c>
      <c r="B572" s="2" t="str">
        <f>"טוש ארטליין700 עט סימון נתלה ירוק"</f>
        <v>טוש ארטליין700 עט סימון נתלה ירוק</v>
      </c>
      <c r="C572" s="7">
        <v>4.4797500000000001</v>
      </c>
      <c r="D572" s="2"/>
    </row>
    <row r="573" spans="1:4" x14ac:dyDescent="0.2">
      <c r="A573" s="2">
        <v>570</v>
      </c>
      <c r="B573" s="2" t="str">
        <f>"טוש ארטליין700 עט סימון נתלה שחור*"</f>
        <v>טוש ארטליין700 עט סימון נתלה שחור*</v>
      </c>
      <c r="C573" s="7">
        <v>4.4797500000000001</v>
      </c>
      <c r="D573" s="2"/>
    </row>
    <row r="574" spans="1:4" x14ac:dyDescent="0.2">
      <c r="A574" s="2">
        <v>571</v>
      </c>
      <c r="B574" s="2" t="str">
        <f>"טוש פנטל 70 קופסא מעורבת ( 12יחידות ) 8צבעים"</f>
        <v>טוש פנטל 70 קופסא מעורבת ( 12יחידות ) 8צבעים</v>
      </c>
      <c r="C574" s="7">
        <v>36.200000000000003</v>
      </c>
      <c r="D574" s="2"/>
    </row>
    <row r="575" spans="1:4" x14ac:dyDescent="0.2">
      <c r="A575" s="2">
        <v>572</v>
      </c>
      <c r="B575" s="2" t="str">
        <f>"עט אנטנה כרום"</f>
        <v>עט אנטנה כרום</v>
      </c>
      <c r="C575" s="7">
        <v>10.135999999999999</v>
      </c>
      <c r="D575" s="2"/>
    </row>
    <row r="576" spans="1:4" x14ac:dyDescent="0.2">
      <c r="A576" s="2">
        <v>573</v>
      </c>
      <c r="B576" s="2" t="str">
        <f>"טוש סימון כסף עבה"</f>
        <v>טוש סימון כסף עבה</v>
      </c>
      <c r="C576" s="7">
        <v>5.3847500000000004</v>
      </c>
      <c r="D576" s="2"/>
    </row>
    <row r="577" spans="1:4" x14ac:dyDescent="0.2">
      <c r="A577" s="2">
        <v>574</v>
      </c>
      <c r="B577" s="2" t="str">
        <f>"טוש פנטל 90בקופסא מעורבת ( 12יחי)- 4צבעים"</f>
        <v>טוש פנטל 90בקופסא מעורבת ( 12יחי)- 4צבעים</v>
      </c>
      <c r="C577" s="7">
        <v>34.39</v>
      </c>
      <c r="D577" s="2"/>
    </row>
    <row r="578" spans="1:4" x14ac:dyDescent="0.2">
      <c r="A578" s="2">
        <v>575</v>
      </c>
      <c r="B578" s="2" t="str">
        <f>"טוש שמן שחור עבה"</f>
        <v>טוש שמן שחור עבה</v>
      </c>
      <c r="C578" s="7">
        <v>5.3395000000000001</v>
      </c>
      <c r="D578" s="2"/>
    </row>
    <row r="579" spans="1:4" x14ac:dyDescent="0.2">
      <c r="A579" s="2">
        <v>576</v>
      </c>
      <c r="B579" s="2" t="str">
        <f>"טוש שמן כחול עבה"</f>
        <v>טוש שמן כחול עבה</v>
      </c>
      <c r="C579" s="7">
        <v>6.2988</v>
      </c>
      <c r="D579" s="2"/>
    </row>
    <row r="580" spans="1:4" x14ac:dyDescent="0.2">
      <c r="A580" s="2">
        <v>577</v>
      </c>
      <c r="B580" s="2" t="str">
        <f>"טוש שמן אדום עבה"</f>
        <v>טוש שמן אדום עבה</v>
      </c>
      <c r="C580" s="7">
        <v>6.2988</v>
      </c>
      <c r="D580" s="2"/>
    </row>
    <row r="581" spans="1:4" x14ac:dyDescent="0.2">
      <c r="A581" s="2">
        <v>578</v>
      </c>
      <c r="B581" s="2" t="str">
        <f>"סט 8 טוש סימון  ארטי ראש עגול"</f>
        <v>סט 8 טוש סימון  ארטי ראש עגול</v>
      </c>
      <c r="C581" s="7">
        <v>13.484500000000001</v>
      </c>
      <c r="D581" s="2"/>
    </row>
    <row r="582" spans="1:4" x14ac:dyDescent="0.2">
      <c r="A582" s="2">
        <v>579</v>
      </c>
      <c r="B582" s="2" t="str">
        <f>"עט מחיקה ראש מתכת C.K.S"</f>
        <v>עט מחיקה ראש מתכת C.K.S</v>
      </c>
      <c r="C582" s="7">
        <v>3.1675</v>
      </c>
      <c r="D582" s="2"/>
    </row>
    <row r="583" spans="1:4" x14ac:dyDescent="0.2">
      <c r="A583" s="2">
        <v>580</v>
      </c>
      <c r="B583" s="2" t="str">
        <f>"מחק ספוג ללוח מחיקEXPO SANFORD"</f>
        <v>מחק ספוג ללוח מחיקEXPO SANFORD</v>
      </c>
      <c r="C583" s="7">
        <v>11.08625</v>
      </c>
      <c r="D583" s="2"/>
    </row>
    <row r="584" spans="1:4" x14ac:dyDescent="0.2">
      <c r="A584" s="2">
        <v>581</v>
      </c>
      <c r="B584" s="2" t="str">
        <f>"ספריי ניקוי ללוח מחיק EXPO SANFORD"</f>
        <v>ספריי ניקוי ללוח מחיק EXPO SANFORD</v>
      </c>
      <c r="C584" s="7">
        <v>10.769500000000001</v>
      </c>
      <c r="D584" s="2"/>
    </row>
    <row r="585" spans="1:4" x14ac:dyDescent="0.2">
      <c r="A585" s="2">
        <v>582</v>
      </c>
      <c r="B585" s="2" t="str">
        <f>"טוש סימון זהב  עבה*"</f>
        <v>טוש סימון זהב  עבה*</v>
      </c>
      <c r="C585" s="7">
        <v>5.3847500000000004</v>
      </c>
      <c r="D585" s="2"/>
    </row>
    <row r="586" spans="1:4" x14ac:dyDescent="0.2">
      <c r="A586" s="2">
        <v>583</v>
      </c>
      <c r="B586" s="2" t="str">
        <f>"מחק ספוג ללוח מחיק גדול"</f>
        <v>מחק ספוג ללוח מחיק גדול</v>
      </c>
      <c r="C586" s="7">
        <v>1.3574999999999999</v>
      </c>
      <c r="D586" s="2"/>
    </row>
    <row r="587" spans="1:4" x14ac:dyDescent="0.2">
      <c r="A587" s="2">
        <v>584</v>
      </c>
      <c r="B587" s="2" t="str">
        <f>"עט רולר לחצן פנטל ג'ל 0.7 שחור-BL107-AX"</f>
        <v>עט רולר לחצן פנטל ג'ל 0.7 שחור-BL107-AX</v>
      </c>
      <c r="C587" s="7">
        <v>3.8462499999999999</v>
      </c>
      <c r="D587" s="2"/>
    </row>
    <row r="588" spans="1:4" x14ac:dyDescent="0.2">
      <c r="A588" s="2">
        <v>585</v>
      </c>
      <c r="B588" s="2" t="str">
        <f>"עט לחצן פלסטי שקוף + גריפ כחול"</f>
        <v>עט לחצן פלסטי שקוף + גריפ כחול</v>
      </c>
      <c r="C588" s="7">
        <v>0.54300000000000004</v>
      </c>
      <c r="D588" s="2"/>
    </row>
    <row r="589" spans="1:4" x14ac:dyDescent="0.2">
      <c r="A589" s="2">
        <v>586</v>
      </c>
      <c r="B589" s="2" t="str">
        <f>"עט רולר לחצן פנטל ג'ל 0.7 אדום-BL107-BX"</f>
        <v>עט רולר לחצן פנטל ג'ל 0.7 אדום-BL107-BX</v>
      </c>
      <c r="C589" s="7">
        <v>3.8462499999999999</v>
      </c>
      <c r="D589" s="2"/>
    </row>
    <row r="590" spans="1:4" x14ac:dyDescent="0.2">
      <c r="A590" s="2">
        <v>587</v>
      </c>
      <c r="B590" s="2" t="str">
        <f>"טוש לבדיקת שטרות"</f>
        <v>טוש לבדיקת שטרות</v>
      </c>
      <c r="C590" s="7">
        <v>5.8825000000000003</v>
      </c>
      <c r="D590" s="2"/>
    </row>
    <row r="591" spans="1:4" x14ac:dyDescent="0.2">
      <c r="A591" s="2">
        <v>588</v>
      </c>
      <c r="B591" s="2" t="str">
        <f>"סט מדגיש שטדלר*364 WP6 6"</f>
        <v>סט מדגיש שטדלר*364 WP6 6</v>
      </c>
      <c r="C591" s="7">
        <v>11.3125</v>
      </c>
      <c r="D591" s="2"/>
    </row>
    <row r="592" spans="1:4" x14ac:dyDescent="0.2">
      <c r="A592" s="2">
        <v>589</v>
      </c>
      <c r="B592" s="2" t="str">
        <f>"סט מדגיש שטדלר*364 WP8 8"</f>
        <v>סט מדגיש שטדלר*364 WP8 8</v>
      </c>
      <c r="C592" s="7">
        <v>17.104499999999998</v>
      </c>
      <c r="D592" s="2"/>
    </row>
    <row r="593" spans="1:4" x14ac:dyDescent="0.2">
      <c r="A593" s="2">
        <v>590</v>
      </c>
      <c r="B593" s="2" t="str">
        <f>"טוש סימון לשקפים שטדלרS313 סגול"</f>
        <v>טוש סימון לשקפים שטדלרS313 סגול</v>
      </c>
      <c r="C593" s="7">
        <v>3.4842500000000003</v>
      </c>
      <c r="D593" s="2"/>
    </row>
    <row r="594" spans="1:4" x14ac:dyDescent="0.2">
      <c r="A594" s="2">
        <v>591</v>
      </c>
      <c r="B594" s="2" t="str">
        <f>"עט סימון לשקפים שטדלר S313 כתום"</f>
        <v>עט סימון לשקפים שטדלר S313 כתום</v>
      </c>
      <c r="C594" s="7">
        <v>3.4842500000000003</v>
      </c>
      <c r="D594" s="2"/>
    </row>
    <row r="595" spans="1:4" x14ac:dyDescent="0.2">
      <c r="A595" s="2">
        <v>592</v>
      </c>
      <c r="B595" s="2" t="str">
        <f>"עט סימון לשקפים שטדלר S313 חום"</f>
        <v>עט סימון לשקפים שטדלר S313 חום</v>
      </c>
      <c r="C595" s="7">
        <v>3.4842500000000003</v>
      </c>
      <c r="D595" s="2"/>
    </row>
    <row r="596" spans="1:4" x14ac:dyDescent="0.2">
      <c r="A596" s="2">
        <v>593</v>
      </c>
      <c r="B596" s="2" t="str">
        <f>"טוש סימון לשקפים שטדלרF318 סגול"</f>
        <v>טוש סימון לשקפים שטדלרF318 סגול</v>
      </c>
      <c r="C596" s="7">
        <v>3.4842500000000003</v>
      </c>
      <c r="D596" s="2"/>
    </row>
    <row r="597" spans="1:4" x14ac:dyDescent="0.2">
      <c r="A597" s="2">
        <v>594</v>
      </c>
      <c r="B597" s="2" t="str">
        <f>"עט רולר לחצן פנטל ג'ל 0.7 כחול-BL107-CX"</f>
        <v>עט רולר לחצן פנטל ג'ל 0.7 כחול-BL107-CX</v>
      </c>
      <c r="C597" s="7">
        <v>3.8462499999999999</v>
      </c>
      <c r="D597" s="2"/>
    </row>
    <row r="598" spans="1:4" x14ac:dyDescent="0.2">
      <c r="A598" s="2">
        <v>595</v>
      </c>
      <c r="B598" s="2" t="str">
        <f>"עט ג'ל לחצן- 0.5 G-2 ורוד"</f>
        <v>עט ג'ל לחצן- 0.5 G-2 ורוד</v>
      </c>
      <c r="C598" s="7">
        <v>4.8870000000000005</v>
      </c>
      <c r="D598" s="2"/>
    </row>
    <row r="599" spans="1:4" x14ac:dyDescent="0.2">
      <c r="A599" s="2">
        <v>596</v>
      </c>
      <c r="B599" s="2" t="str">
        <f>"עט ג'ל לחצן- 0.5 G-2 סגול"</f>
        <v>עט ג'ל לחצן- 0.5 G-2 סגול</v>
      </c>
      <c r="C599" s="7">
        <v>4.8870000000000005</v>
      </c>
      <c r="D599" s="2"/>
    </row>
    <row r="600" spans="1:4" x14ac:dyDescent="0.2">
      <c r="A600" s="2">
        <v>597</v>
      </c>
      <c r="B600" s="2" t="str">
        <f>"עט ג'ל לחצן- 0.5 G-2 תכלת"</f>
        <v>עט ג'ל לחצן- 0.5 G-2 תכלת</v>
      </c>
      <c r="C600" s="7">
        <v>4.8870000000000005</v>
      </c>
      <c r="D600" s="2"/>
    </row>
    <row r="601" spans="1:4" x14ac:dyDescent="0.2">
      <c r="A601" s="2">
        <v>598</v>
      </c>
      <c r="B601" s="2" t="str">
        <f>"עט ג'ל לחצן- 0.7 G-2 ורוד"</f>
        <v>עט ג'ל לחצן- 0.7 G-2 ורוד</v>
      </c>
      <c r="C601" s="7">
        <v>4.8870000000000005</v>
      </c>
      <c r="D601" s="2"/>
    </row>
    <row r="602" spans="1:4" x14ac:dyDescent="0.2">
      <c r="A602" s="2">
        <v>599</v>
      </c>
      <c r="B602" s="2" t="str">
        <f>"עט ג'ל לחצן- 0.7 G-2 סגול"</f>
        <v>עט ג'ל לחצן- 0.7 G-2 סגול</v>
      </c>
      <c r="C602" s="7">
        <v>4.8870000000000005</v>
      </c>
      <c r="D602" s="2"/>
    </row>
    <row r="603" spans="1:4" x14ac:dyDescent="0.2">
      <c r="A603" s="2">
        <v>600</v>
      </c>
      <c r="B603" s="2" t="str">
        <f>"עט ג'ל לחצן- 0.7 G-2 תכלת"</f>
        <v>עט ג'ל לחצן- 0.7 G-2 תכלת</v>
      </c>
      <c r="C603" s="7">
        <v>4.8870000000000005</v>
      </c>
      <c r="D603" s="2"/>
    </row>
    <row r="604" spans="1:4" x14ac:dyDescent="0.2">
      <c r="A604" s="2">
        <v>601</v>
      </c>
      <c r="B604" s="2" t="str">
        <f>"עט רולר לחצן פנטל ג'ל 1.0 שחור-BL110-AX"</f>
        <v>עט רולר לחצן פנטל ג'ל 1.0 שחור-BL110-AX</v>
      </c>
      <c r="C604" s="7">
        <v>4.0724999999999998</v>
      </c>
      <c r="D604" s="2"/>
    </row>
    <row r="605" spans="1:4" x14ac:dyDescent="0.2">
      <c r="A605" s="2">
        <v>602</v>
      </c>
      <c r="B605" s="2" t="str">
        <f>"עפרון מכני כחול 0.5 פנטל PL105-CX -"</f>
        <v>עפרון מכני כחול 0.5 פנטל PL105-CX -</v>
      </c>
      <c r="C605" s="7">
        <v>3.1675</v>
      </c>
      <c r="D605" s="2"/>
    </row>
    <row r="606" spans="1:4" x14ac:dyDescent="0.2">
      <c r="A606" s="2">
        <v>603</v>
      </c>
      <c r="B606" s="2" t="str">
        <f>"מתקן מחיקה פנטל רולפיקס 5מ""מ ( טיפקס רולר )"</f>
        <v>מתקן מחיקה פנטל רולפיקס 5מ"מ ( טיפקס רולר )</v>
      </c>
      <c r="C606" s="7">
        <v>8.8690000000000015</v>
      </c>
      <c r="D606" s="2"/>
    </row>
    <row r="607" spans="1:4" x14ac:dyDescent="0.2">
      <c r="A607" s="2">
        <v>604</v>
      </c>
      <c r="B607" s="2" t="str">
        <f>"עט ג'ל לחצן- 0.5 G-2 שחור*"</f>
        <v>עט ג'ל לחצן- 0.5 G-2 שחור*</v>
      </c>
      <c r="C607" s="7">
        <v>4.8870000000000005</v>
      </c>
      <c r="D607" s="2"/>
    </row>
    <row r="608" spans="1:4" x14ac:dyDescent="0.2">
      <c r="A608" s="2">
        <v>605</v>
      </c>
      <c r="B608" s="2" t="str">
        <f>"עט ג'ל לחצן- 0.7 G-2 כחול"</f>
        <v>עט ג'ל לחצן- 0.7 G-2 כחול</v>
      </c>
      <c r="C608" s="7">
        <v>4.8870000000000005</v>
      </c>
      <c r="D608" s="2"/>
    </row>
    <row r="609" spans="1:4" x14ac:dyDescent="0.2">
      <c r="A609" s="2">
        <v>606</v>
      </c>
      <c r="B609" s="2" t="str">
        <f>"עט לחצן ג'ל פנטל - K157 שחור*"</f>
        <v>עט לחצן ג'ל פנטל - K157 שחור*</v>
      </c>
      <c r="C609" s="7">
        <v>3.0136500000000002</v>
      </c>
      <c r="D609" s="2"/>
    </row>
    <row r="610" spans="1:4" x14ac:dyDescent="0.2">
      <c r="A610" s="2">
        <v>607</v>
      </c>
      <c r="B610" s="2" t="str">
        <f>"עט לחצן ג'ל פנטל - K157 כחול"</f>
        <v>עט לחצן ג'ל פנטל - K157 כחול</v>
      </c>
      <c r="C610" s="7">
        <v>3.0136500000000002</v>
      </c>
      <c r="D610" s="2"/>
    </row>
    <row r="611" spans="1:4" x14ac:dyDescent="0.2">
      <c r="A611" s="2">
        <v>608</v>
      </c>
      <c r="B611" s="2" t="str">
        <f>"עט לחצן ג'ל פנטל - K157 אדום"</f>
        <v>עט לחצן ג'ל פנטל - K157 אדום</v>
      </c>
      <c r="C611" s="7">
        <v>3.0136500000000002</v>
      </c>
      <c r="D611" s="2"/>
    </row>
    <row r="612" spans="1:4" x14ac:dyDescent="0.2">
      <c r="A612" s="2">
        <v>609</v>
      </c>
      <c r="B612" s="2" t="str">
        <f>"עט מחיקה פנטל ראש מתכת מיני EF"</f>
        <v>עט מחיקה פנטל ראש מתכת מיני EF</v>
      </c>
      <c r="C612" s="7">
        <v>3.8010000000000002</v>
      </c>
      <c r="D612" s="2"/>
    </row>
    <row r="613" spans="1:4" x14ac:dyDescent="0.2">
      <c r="A613" s="2">
        <v>610</v>
      </c>
      <c r="B613" s="2" t="str">
        <f>"טוש סימון ארטי - 90 ירוק"</f>
        <v>טוש סימון ארטי - 90 ירוק</v>
      </c>
      <c r="C613" s="7">
        <v>1.3937000000000002</v>
      </c>
      <c r="D613" s="2"/>
    </row>
    <row r="614" spans="1:4" x14ac:dyDescent="0.2">
      <c r="A614" s="2">
        <v>611</v>
      </c>
      <c r="B614" s="2" t="str">
        <f>"עפרון רוטרינג + מחק 12 יח'"</f>
        <v>עפרון רוטרינג + מחק 12 יח'</v>
      </c>
      <c r="C614" s="7">
        <v>2.5339999999999998</v>
      </c>
      <c r="D614" s="2"/>
    </row>
    <row r="615" spans="1:4" x14ac:dyDescent="0.2">
      <c r="A615" s="2">
        <v>612</v>
      </c>
      <c r="B615" s="2" t="str">
        <f>"טוש סימון ארטי - 70 ירוק"</f>
        <v>טוש סימון ארטי - 70 ירוק</v>
      </c>
      <c r="C615" s="7">
        <v>1.3937000000000002</v>
      </c>
      <c r="D615" s="2"/>
    </row>
    <row r="616" spans="1:4" x14ac:dyDescent="0.2">
      <c r="A616" s="2">
        <v>613</v>
      </c>
      <c r="B616" s="2" t="str">
        <f>"עט ג'ל לחצן- 0.5 G-2 כחול"</f>
        <v>עט ג'ל לחצן- 0.5 G-2 כחול</v>
      </c>
      <c r="C616" s="7">
        <v>4.8870000000000005</v>
      </c>
      <c r="D616" s="2"/>
    </row>
    <row r="617" spans="1:4" x14ac:dyDescent="0.2">
      <c r="A617" s="2">
        <v>614</v>
      </c>
      <c r="B617" s="2" t="str">
        <f>"עט ג'ל לחצן- 0.5 G-2 אדום"</f>
        <v>עט ג'ל לחצן- 0.5 G-2 אדום</v>
      </c>
      <c r="C617" s="7">
        <v>4.8870000000000005</v>
      </c>
      <c r="D617" s="2"/>
    </row>
    <row r="618" spans="1:4" x14ac:dyDescent="0.2">
      <c r="A618" s="2">
        <v>615</v>
      </c>
      <c r="B618" s="2" t="str">
        <f>"עט ג'ל לחצן- 0.7 G-2 שחור"</f>
        <v>עט ג'ל לחצן- 0.7 G-2 שחור</v>
      </c>
      <c r="C618" s="7">
        <v>4.8870000000000005</v>
      </c>
      <c r="D618" s="2"/>
    </row>
    <row r="619" spans="1:4" x14ac:dyDescent="0.2">
      <c r="A619" s="2">
        <v>616</v>
      </c>
      <c r="B619" s="2" t="str">
        <f>"עט ג'ל לחצן- 0.5 G-2 ירוק"</f>
        <v>עט ג'ל לחצן- 0.5 G-2 ירוק</v>
      </c>
      <c r="C619" s="7">
        <v>4.8870000000000005</v>
      </c>
      <c r="D619" s="2"/>
    </row>
    <row r="620" spans="1:4" x14ac:dyDescent="0.2">
      <c r="A620" s="2">
        <v>617</v>
      </c>
      <c r="B620" s="2" t="str">
        <f>"עט ג'ל לחצן- 0.7 G-2 ירוק"</f>
        <v>עט ג'ל לחצן- 0.7 G-2 ירוק</v>
      </c>
      <c r="C620" s="7">
        <v>4.8870000000000005</v>
      </c>
      <c r="D620" s="2"/>
    </row>
    <row r="621" spans="1:4" x14ac:dyDescent="0.2">
      <c r="A621" s="2">
        <v>618</v>
      </c>
      <c r="B621" s="2" t="str">
        <f>"עטPILOT V BALL גריפ0.5 כחול"</f>
        <v>עטPILOT V BALL גריפ0.5 כחול</v>
      </c>
      <c r="C621" s="7">
        <v>4.4797500000000001</v>
      </c>
      <c r="D621" s="2"/>
    </row>
    <row r="622" spans="1:4" x14ac:dyDescent="0.2">
      <c r="A622" s="2">
        <v>619</v>
      </c>
      <c r="B622" s="2" t="str">
        <f>"עטPILOT V BALL גריפ0.5 שחור*1121031"</f>
        <v>עטPILOT V BALL גריפ0.5 שחור*1121031</v>
      </c>
      <c r="C622" s="7">
        <v>4.4797500000000001</v>
      </c>
      <c r="D622" s="2"/>
    </row>
    <row r="623" spans="1:4" x14ac:dyDescent="0.2">
      <c r="A623" s="2">
        <v>620</v>
      </c>
      <c r="B623" s="2" t="str">
        <f>"עטPILOT V BALL גריפ0.5 אדום1121032"</f>
        <v>עטPILOT V BALL גריפ0.5 אדום1121032</v>
      </c>
      <c r="C623" s="7">
        <v>4.4797500000000001</v>
      </c>
      <c r="D623" s="2"/>
    </row>
    <row r="624" spans="1:4" x14ac:dyDescent="0.2">
      <c r="A624" s="2">
        <v>621</v>
      </c>
      <c r="B624" s="2" t="str">
        <f>"עט ג'ל לחצן- 0.7 G-2 אדום"</f>
        <v>עט ג'ל לחצן- 0.7 G-2 אדום</v>
      </c>
      <c r="C624" s="7">
        <v>4.8870000000000005</v>
      </c>
      <c r="D624" s="2"/>
    </row>
    <row r="625" spans="1:4" x14ac:dyDescent="0.2">
      <c r="A625" s="2">
        <v>622</v>
      </c>
      <c r="B625" s="2" t="str">
        <f>"עט פנטל ראש סיכה 0.4 כחול טכניקה KN104"</f>
        <v>עט פנטל ראש סיכה 0.4 כחול טכניקה KN104</v>
      </c>
      <c r="C625" s="7">
        <v>3.077</v>
      </c>
      <c r="D625" s="2"/>
    </row>
    <row r="626" spans="1:4" x14ac:dyDescent="0.2">
      <c r="A626" s="2">
        <v>623</v>
      </c>
      <c r="B626" s="2" t="str">
        <f>"עט פנטל ראש סיכה 0.4 שחור ""טכניקה""*KN104"</f>
        <v>עט פנטל ראש סיכה 0.4 שחור "טכניקה"*KN104</v>
      </c>
      <c r="C626" s="7">
        <v>3.077</v>
      </c>
      <c r="D626" s="2"/>
    </row>
    <row r="627" spans="1:4" x14ac:dyDescent="0.2">
      <c r="A627" s="2">
        <v>624</v>
      </c>
      <c r="B627" s="2" t="str">
        <f>"עט פנטל ראש סיכה 0.4 אדום ""טכניקה""KN104"</f>
        <v>עט פנטל ראש סיכה 0.4 אדום "טכניקה"KN104</v>
      </c>
      <c r="C627" s="7">
        <v>3.077</v>
      </c>
      <c r="D627" s="2"/>
    </row>
    <row r="628" spans="1:4" x14ac:dyDescent="0.2">
      <c r="A628" s="2">
        <v>625</v>
      </c>
      <c r="B628" s="2" t="str">
        <f>"עט רולר פנטל ג'ל+גריפ 0.7 שחור-BL17"</f>
        <v>עט רולר פנטל ג'ל+גריפ 0.7 שחור-BL17</v>
      </c>
      <c r="C628" s="7">
        <v>2.9864999999999999</v>
      </c>
      <c r="D628" s="2"/>
    </row>
    <row r="629" spans="1:4" x14ac:dyDescent="0.2">
      <c r="A629" s="2">
        <v>626</v>
      </c>
      <c r="B629" s="2" t="str">
        <f>"עט רולר פנטל ג'ל+גריפ 0.7 כחול BL17"</f>
        <v>עט רולר פנטל ג'ל+גריפ 0.7 כחול BL17</v>
      </c>
      <c r="C629" s="7">
        <v>2.9864999999999999</v>
      </c>
      <c r="D629" s="2"/>
    </row>
    <row r="630" spans="1:4" x14ac:dyDescent="0.2">
      <c r="A630" s="2">
        <v>627</v>
      </c>
      <c r="B630" s="2" t="str">
        <f>"עט רולר פנטל ג'ל+גריפ 0.7 אדום BL17"</f>
        <v>עט רולר פנטל ג'ל+גריפ 0.7 אדום BL17</v>
      </c>
      <c r="C630" s="7">
        <v>2.9864999999999999</v>
      </c>
      <c r="D630" s="2"/>
    </row>
    <row r="631" spans="1:4" x14ac:dyDescent="0.2">
      <c r="A631" s="2">
        <v>628</v>
      </c>
      <c r="B631" s="2" t="str">
        <f>"עט לחצן פלסטי שקוף+ גריפ שחור*"</f>
        <v>עט לחצן פלסטי שקוף+ גריפ שחור*</v>
      </c>
      <c r="C631" s="7">
        <v>0.54300000000000004</v>
      </c>
      <c r="D631" s="2"/>
    </row>
    <row r="632" spans="1:4" x14ac:dyDescent="0.2">
      <c r="A632" s="2">
        <v>629</v>
      </c>
      <c r="B632" s="2" t="str">
        <f>"עט לחצן פלסטי שקוף + גריפ אדום"</f>
        <v>עט לחצן פלסטי שקוף + גריפ אדום</v>
      </c>
      <c r="C632" s="7">
        <v>0.54300000000000004</v>
      </c>
      <c r="D632" s="2"/>
    </row>
    <row r="633" spans="1:4" x14ac:dyDescent="0.2">
      <c r="A633" s="2">
        <v>630</v>
      </c>
      <c r="B633" s="2" t="str">
        <f>"עט רולר פנטל ג'ל+גריפ 0.7 סגול BLN77"</f>
        <v>עט רולר פנטל ג'ל+גריפ 0.7 סגול BLN77</v>
      </c>
      <c r="C633" s="7">
        <v>2.3530000000000002</v>
      </c>
      <c r="D633" s="2"/>
    </row>
    <row r="634" spans="1:4" x14ac:dyDescent="0.2">
      <c r="A634" s="2">
        <v>631</v>
      </c>
      <c r="B634" s="2" t="str">
        <f>"עט רולר פנטל ג'ל+גריפ 0.7 ירוק BLN77"</f>
        <v>עט רולר פנטל ג'ל+גריפ 0.7 ירוק BLN77</v>
      </c>
      <c r="C634" s="7">
        <v>2.3530000000000002</v>
      </c>
      <c r="D634" s="2"/>
    </row>
    <row r="635" spans="1:4" x14ac:dyDescent="0.2">
      <c r="A635" s="2">
        <v>632</v>
      </c>
      <c r="B635" s="2" t="str">
        <f>"טוש שמן פנטל MMP20 זהב"</f>
        <v>טוש שמן פנטל MMP20 זהב</v>
      </c>
      <c r="C635" s="7">
        <v>5.7015000000000002</v>
      </c>
      <c r="D635" s="2"/>
    </row>
    <row r="636" spans="1:4" x14ac:dyDescent="0.2">
      <c r="A636" s="2">
        <v>633</v>
      </c>
      <c r="B636" s="2" t="str">
        <f>"טוש שמן פנטל MMP20 כסף"</f>
        <v>טוש שמן פנטל MMP20 כסף</v>
      </c>
      <c r="C636" s="7">
        <v>5.7015000000000002</v>
      </c>
      <c r="D636" s="2"/>
    </row>
    <row r="637" spans="1:4" x14ac:dyDescent="0.2">
      <c r="A637" s="2">
        <v>634</v>
      </c>
      <c r="B637" s="2" t="str">
        <f>"טוש שמן פנטל MMP20 לבן"</f>
        <v>טוש שמן פנטל MMP20 לבן</v>
      </c>
      <c r="C637" s="7">
        <v>5.7015000000000002</v>
      </c>
      <c r="D637" s="2"/>
    </row>
    <row r="638" spans="1:4" x14ac:dyDescent="0.2">
      <c r="A638" s="2">
        <v>635</v>
      </c>
      <c r="B638" s="2" t="str">
        <f>"עפרון מכני 0.5 פנטל PD255"</f>
        <v>עפרון מכני 0.5 פנטל PD255</v>
      </c>
      <c r="C638" s="7">
        <v>3.3575500000000003</v>
      </c>
      <c r="D638" s="2"/>
    </row>
    <row r="639" spans="1:4" x14ac:dyDescent="0.2">
      <c r="A639" s="2">
        <v>636</v>
      </c>
      <c r="B639" s="2" t="str">
        <f>"עט רולר פנטל ג'ל 0.7 שחור-KL257 AO"</f>
        <v>עט רולר פנטל ג'ל 0.7 שחור-KL257 AO</v>
      </c>
      <c r="C639" s="7">
        <v>3.4842500000000003</v>
      </c>
      <c r="D639" s="2"/>
    </row>
    <row r="640" spans="1:4" x14ac:dyDescent="0.2">
      <c r="A640" s="2">
        <v>637</v>
      </c>
      <c r="B640" s="2" t="str">
        <f>"עט רולר פנטל ג'ל+גריפ 0.7 ירוק BL17"</f>
        <v>עט רולר פנטל ג'ל+גריפ 0.7 ירוק BL17</v>
      </c>
      <c r="C640" s="7">
        <v>4.4164000000000003</v>
      </c>
      <c r="D640" s="2"/>
    </row>
    <row r="641" spans="1:4" x14ac:dyDescent="0.2">
      <c r="A641" s="2">
        <v>638</v>
      </c>
      <c r="B641" s="2" t="str">
        <f>"עט כדורי לחצן + גריפ 0.5 כחול TENFON - B 567"</f>
        <v>עט כדורי לחצן + גריפ 0.5 כחול TENFON - B 567</v>
      </c>
      <c r="C641" s="7">
        <v>1.2036500000000001</v>
      </c>
      <c r="D641" s="2"/>
    </row>
    <row r="642" spans="1:4" x14ac:dyDescent="0.2">
      <c r="A642" s="2">
        <v>639</v>
      </c>
      <c r="B642" s="2" t="str">
        <f>"עט כדורי לחצן + גריפ 0.5 שחור *TENFON - (B - 567"</f>
        <v>עט כדורי לחצן + גריפ 0.5 שחור *TENFON - (B - 567</v>
      </c>
      <c r="C642" s="7">
        <v>1.2036500000000001</v>
      </c>
      <c r="D642" s="2"/>
    </row>
    <row r="643" spans="1:4" x14ac:dyDescent="0.2">
      <c r="A643" s="2">
        <v>640</v>
      </c>
      <c r="B643" s="2" t="str">
        <f>"עט כדורי לחצן + גריפ0.5 אדום TENFON - (B - 567 )"</f>
        <v>עט כדורי לחצן + גריפ0.5 אדום TENFON - (B - 567 )</v>
      </c>
      <c r="C643" s="7">
        <v>1.2036500000000001</v>
      </c>
      <c r="D643" s="2"/>
    </row>
    <row r="644" spans="1:4" x14ac:dyDescent="0.2">
      <c r="A644" s="2">
        <v>641</v>
      </c>
      <c r="B644" s="2" t="str">
        <f>"עט רולר פנטל ג'ל 0.4 שחור-BLN74-AX"</f>
        <v>עט רולר פנטל ג'ל 0.4 שחור-BLN74-AX</v>
      </c>
      <c r="C644" s="7">
        <v>4.3711500000000001</v>
      </c>
      <c r="D644" s="2"/>
    </row>
    <row r="645" spans="1:4" x14ac:dyDescent="0.2">
      <c r="A645" s="2">
        <v>642</v>
      </c>
      <c r="B645" s="2" t="str">
        <f>"עט רולר פנטל ג'ל 0.4 אדום-BLN74-BX"</f>
        <v>עט רולר פנטל ג'ל 0.4 אדום-BLN74-BX</v>
      </c>
      <c r="C645" s="7">
        <v>4.3711500000000001</v>
      </c>
      <c r="D645" s="2"/>
    </row>
    <row r="646" spans="1:4" x14ac:dyDescent="0.2">
      <c r="A646" s="2">
        <v>643</v>
      </c>
      <c r="B646" s="2" t="str">
        <f>"עט רולר פנטל ג'ל 0.4 כחול-BLN74-CX"</f>
        <v>עט רולר פנטל ג'ל 0.4 כחול-BLN74-CX</v>
      </c>
      <c r="C646" s="7">
        <v>4.1629999999999994</v>
      </c>
      <c r="D646" s="2"/>
    </row>
    <row r="647" spans="1:4" x14ac:dyDescent="0.2">
      <c r="A647" s="2">
        <v>644</v>
      </c>
      <c r="B647" s="2" t="str">
        <f>"עט רולר פנטל ג'ל 1.0 שחור-BL80-AX"</f>
        <v>עט רולר פנטל ג'ל 1.0 שחור-BL80-AX</v>
      </c>
      <c r="C647" s="7">
        <v>4.7060000000000004</v>
      </c>
      <c r="D647" s="2"/>
    </row>
    <row r="648" spans="1:4" x14ac:dyDescent="0.2">
      <c r="A648" s="2">
        <v>645</v>
      </c>
      <c r="B648" s="2" t="str">
        <f>"עט רולר פנטל ג'ל 1.0 אדום-BL80-BX"</f>
        <v>עט רולר פנטל ג'ל 1.0 אדום-BL80-BX</v>
      </c>
      <c r="C648" s="7">
        <v>4.7060000000000004</v>
      </c>
      <c r="D648" s="2"/>
    </row>
    <row r="649" spans="1:4" x14ac:dyDescent="0.2">
      <c r="A649" s="2">
        <v>646</v>
      </c>
      <c r="B649" s="2" t="str">
        <f>"עט רולר פנטל ג'ל 1.0 כחול-BL80-CX"</f>
        <v>עט רולר פנטל ג'ל 1.0 כחול-BL80-CX</v>
      </c>
      <c r="C649" s="7">
        <v>3.258</v>
      </c>
      <c r="D649" s="2"/>
    </row>
    <row r="650" spans="1:4" x14ac:dyDescent="0.2">
      <c r="A650" s="2">
        <v>647</v>
      </c>
      <c r="B650" s="2" t="str">
        <f>"עט רולר פנטל ג'ל 1.0 סגול-BL80-VX"</f>
        <v>עט רולר פנטל ג'ל 1.0 סגול-BL80-VX</v>
      </c>
      <c r="C650" s="7">
        <v>3.258</v>
      </c>
      <c r="D650" s="2"/>
    </row>
    <row r="651" spans="1:4" x14ac:dyDescent="0.2">
      <c r="A651" s="2">
        <v>648</v>
      </c>
      <c r="B651" s="2" t="str">
        <f>"עט רולר לחצן פנטל  ג'ל 0.5 שחור-*BLN105-AX"</f>
        <v>עט רולר לחצן פנטל  ג'ל 0.5 שחור-*BLN105-AX</v>
      </c>
      <c r="C651" s="7">
        <v>4.1629999999999994</v>
      </c>
      <c r="D651" s="2"/>
    </row>
    <row r="652" spans="1:4" x14ac:dyDescent="0.2">
      <c r="A652" s="2">
        <v>649</v>
      </c>
      <c r="B652" s="2" t="str">
        <f>"עט רולר לחצן פנטל  ג'ל 0.5 כחול-BLN105-CX"</f>
        <v>עט רולר לחצן פנטל  ג'ל 0.5 כחול-BLN105-CX</v>
      </c>
      <c r="C652" s="7">
        <v>3.8462499999999999</v>
      </c>
      <c r="D652" s="2"/>
    </row>
    <row r="653" spans="1:4" x14ac:dyDescent="0.2">
      <c r="A653" s="2">
        <v>650</v>
      </c>
      <c r="B653" s="2" t="str">
        <f>"טוש סימון שחור  F פנטל ) NMS50-A מתאים לשקפים)"</f>
        <v>טוש סימון שחור  F פנטל ) NMS50-A מתאים לשקפים)</v>
      </c>
      <c r="C653" s="7">
        <v>3.4390000000000001</v>
      </c>
      <c r="D653" s="2"/>
    </row>
    <row r="654" spans="1:4" x14ac:dyDescent="0.2">
      <c r="A654" s="2">
        <v>651</v>
      </c>
      <c r="B654" s="2" t="str">
        <f>"טוש סימון שחור S פנטל NMF50-A לשקפים"</f>
        <v>טוש סימון שחור S פנטל NMF50-A לשקפים</v>
      </c>
      <c r="C654" s="7">
        <v>3.4390000000000001</v>
      </c>
      <c r="D654" s="2"/>
    </row>
    <row r="655" spans="1:4" x14ac:dyDescent="0.2">
      <c r="A655" s="2">
        <v>652</v>
      </c>
      <c r="B655" s="2" t="str">
        <f>"עט רולר פנטל ג'ל+גריפ 0.5 שחור *BLN15"</f>
        <v>עט רולר פנטל ג'ל+גריפ 0.5 שחור *BLN15</v>
      </c>
      <c r="C655" s="7">
        <v>2.9864999999999999</v>
      </c>
      <c r="D655" s="2"/>
    </row>
    <row r="656" spans="1:4" x14ac:dyDescent="0.2">
      <c r="A656" s="2">
        <v>653</v>
      </c>
      <c r="B656" s="2" t="str">
        <f>"עט רולר פנטל ג'ל+גריפ 0.5 כחול BLN15"</f>
        <v>עט רולר פנטל ג'ל+גריפ 0.5 כחול BLN15</v>
      </c>
      <c r="C656" s="7">
        <v>2.9864999999999999</v>
      </c>
      <c r="D656" s="2"/>
    </row>
    <row r="657" spans="1:4" x14ac:dyDescent="0.2">
      <c r="A657" s="2">
        <v>654</v>
      </c>
      <c r="B657" s="2" t="str">
        <f>"עט רולר פנטל ג'ל+גריפ 0.5 אדום BLN15"</f>
        <v>עט רולר פנטל ג'ל+גריפ 0.5 אדום BLN15</v>
      </c>
      <c r="C657" s="7">
        <v>2.9864999999999999</v>
      </c>
      <c r="D657" s="2"/>
    </row>
    <row r="658" spans="1:4" x14ac:dyDescent="0.2">
      <c r="A658" s="2">
        <v>655</v>
      </c>
      <c r="B658" s="2" t="str">
        <f>"סט 3 מחדדים מתכת"</f>
        <v>סט 3 מחדדים מתכת</v>
      </c>
      <c r="C658" s="7">
        <v>1.629</v>
      </c>
      <c r="D658" s="2"/>
    </row>
    <row r="659" spans="1:4" x14ac:dyDescent="0.2">
      <c r="A659" s="2">
        <v>656</v>
      </c>
      <c r="B659" s="2" t="str">
        <f>"שדכן גדול  - 39141  עד 130 דף"</f>
        <v>שדכן גדול  - 39141  עד 130 דף</v>
      </c>
      <c r="C659" s="7">
        <v>29.865000000000002</v>
      </c>
      <c r="D659" s="2"/>
    </row>
    <row r="660" spans="1:4" x14ac:dyDescent="0.2">
      <c r="A660" s="2">
        <v>657</v>
      </c>
      <c r="B660" s="2" t="str">
        <f>"עפרון מכני כחול 0.7 פנטל -AZ127"</f>
        <v>עפרון מכני כחול 0.7 פנטל -AZ127</v>
      </c>
      <c r="C660" s="7">
        <v>1.9910000000000003</v>
      </c>
      <c r="D660" s="2"/>
    </row>
    <row r="661" spans="1:4" x14ac:dyDescent="0.2">
      <c r="A661" s="2">
        <v>658</v>
      </c>
      <c r="B661" s="2" t="str">
        <f>"סט צבעי עפרון פליקן*12"</f>
        <v>סט צבעי עפרון פליקן*12</v>
      </c>
      <c r="C661" s="7">
        <v>6.7875000000000005</v>
      </c>
      <c r="D661" s="2"/>
    </row>
    <row r="662" spans="1:4" x14ac:dyDescent="0.2">
      <c r="A662" s="2">
        <v>659</v>
      </c>
      <c r="B662" s="2" t="str">
        <f>"מחק לבן 1/5 ארטי"</f>
        <v>מחק לבן 1/5 ארטי</v>
      </c>
      <c r="C662" s="7">
        <v>0.22625000000000001</v>
      </c>
      <c r="D662" s="2"/>
    </row>
    <row r="663" spans="1:4" x14ac:dyDescent="0.2">
      <c r="A663" s="2">
        <v>660</v>
      </c>
      <c r="B663" s="2" t="str">
        <f>"מחק לבן 10/1ארטי"</f>
        <v>מחק לבן 10/1ארטי</v>
      </c>
      <c r="C663" s="7">
        <v>2.5339999999999998</v>
      </c>
      <c r="D663" s="2"/>
    </row>
    <row r="664" spans="1:4" x14ac:dyDescent="0.2">
      <c r="A664" s="2">
        <v>661</v>
      </c>
      <c r="B664" s="2" t="str">
        <f>"מחק לבן ארטי 3 יח"</f>
        <v>מחק לבן ארטי 3 יח</v>
      </c>
      <c r="C664" s="7">
        <v>1.2217500000000001</v>
      </c>
      <c r="D664" s="2"/>
    </row>
    <row r="665" spans="1:4" x14ac:dyDescent="0.2">
      <c r="A665" s="2">
        <v>662</v>
      </c>
      <c r="B665" s="2" t="str">
        <f>"עפרון מכני שחור 0.5 פנטל -PL75-A"</f>
        <v>עפרון מכני שחור 0.5 פנטל -PL75-A</v>
      </c>
      <c r="C665" s="7">
        <v>3.1675</v>
      </c>
      <c r="D665" s="2"/>
    </row>
    <row r="666" spans="1:4" x14ac:dyDescent="0.2">
      <c r="A666" s="2">
        <v>663</v>
      </c>
      <c r="B666" s="2" t="str">
        <f>"עט רולר פנטל ג'ל+גריפ 0.7 שחור BLN77"</f>
        <v>עט רולר פנטל ג'ל+גריפ 0.7 שחור BLN77</v>
      </c>
      <c r="C666" s="7">
        <v>2.3530000000000002</v>
      </c>
      <c r="D666" s="2"/>
    </row>
    <row r="667" spans="1:4" x14ac:dyDescent="0.2">
      <c r="A667" s="2">
        <v>664</v>
      </c>
      <c r="B667" s="2" t="str">
        <f>"עט רולר פנטל ג'ל+גריפ 0.7 כחול BLN77"</f>
        <v>עט רולר פנטל ג'ל+גריפ 0.7 כחול BLN77</v>
      </c>
      <c r="C667" s="7">
        <v>2.3530000000000002</v>
      </c>
      <c r="D667" s="2"/>
    </row>
    <row r="668" spans="1:4" x14ac:dyDescent="0.2">
      <c r="A668" s="2">
        <v>665</v>
      </c>
      <c r="B668" s="2" t="str">
        <f>"עט רולר פנטל ג'ל+גריפ 0.7 אדום BLN77"</f>
        <v>עט רולר פנטל ג'ל+גריפ 0.7 אדום BLN77</v>
      </c>
      <c r="C668" s="7">
        <v>2.3530000000000002</v>
      </c>
      <c r="D668" s="2"/>
    </row>
    <row r="669" spans="1:4" x14ac:dyDescent="0.2">
      <c r="A669" s="2">
        <v>666</v>
      </c>
      <c r="B669" s="2" t="str">
        <f>"עט רולר פנטל ג'ל+גריפ 0.5 שחור *BLN75"</f>
        <v>עט רולר פנטל ג'ל+גריפ 0.5 שחור *BLN75</v>
      </c>
      <c r="C669" s="7">
        <v>2.3530000000000002</v>
      </c>
      <c r="D669" s="2"/>
    </row>
    <row r="670" spans="1:4" x14ac:dyDescent="0.2">
      <c r="A670" s="2">
        <v>667</v>
      </c>
      <c r="B670" s="2" t="str">
        <f>"עט רולר פנטל ג'ל+גריפ 0.5 כחול BLN75"</f>
        <v>עט רולר פנטל ג'ל+גריפ 0.5 כחול BLN75</v>
      </c>
      <c r="C670" s="7">
        <v>2.3530000000000002</v>
      </c>
      <c r="D670" s="2"/>
    </row>
    <row r="671" spans="1:4" x14ac:dyDescent="0.2">
      <c r="A671" s="2">
        <v>668</v>
      </c>
      <c r="B671" s="2" t="str">
        <f>"עט רולר פנטל ג'ל+גריפ 0.5 אדום BLN75"</f>
        <v>עט רולר פנטל ג'ל+גריפ 0.5 אדום BLN75</v>
      </c>
      <c r="C671" s="7">
        <v>2.3530000000000002</v>
      </c>
      <c r="D671" s="2"/>
    </row>
    <row r="672" spans="1:4" x14ac:dyDescent="0.2">
      <c r="A672" s="2">
        <v>669</v>
      </c>
      <c r="B672" s="2" t="str">
        <f>"עפרון מכני תכלת 0.5 פנטל -AZ125"</f>
        <v>עפרון מכני תכלת 0.5 פנטל -AZ125</v>
      </c>
      <c r="C672" s="7">
        <v>3.4571000000000001</v>
      </c>
      <c r="D672" s="2"/>
    </row>
    <row r="673" spans="1:4" x14ac:dyDescent="0.2">
      <c r="A673" s="2">
        <v>670</v>
      </c>
      <c r="B673" s="2" t="str">
        <f>"עפרון מכני ורוד 0.7 פנטל -PL77"</f>
        <v>עפרון מכני ורוד 0.7 פנטל -PL77</v>
      </c>
      <c r="C673" s="7">
        <v>3.9820000000000007</v>
      </c>
      <c r="D673" s="2"/>
    </row>
    <row r="674" spans="1:4" x14ac:dyDescent="0.2">
      <c r="A674" s="2">
        <v>671</v>
      </c>
      <c r="B674" s="2" t="str">
        <f>"עפרון מכני סגול 0.7 פנטל -PL77"</f>
        <v>עפרון מכני סגול 0.7 פנטל -PL77</v>
      </c>
      <c r="C674" s="7">
        <v>5.4933500000000004</v>
      </c>
      <c r="D674" s="2"/>
    </row>
    <row r="675" spans="1:4" x14ac:dyDescent="0.2">
      <c r="A675" s="2">
        <v>672</v>
      </c>
      <c r="B675" s="2" t="str">
        <f>"עט כדורי לחצן פנטל כחול 1.0 BP130-CO"</f>
        <v>עט כדורי לחצן פנטל כחול 1.0 BP130-CO</v>
      </c>
      <c r="C675" s="7">
        <v>2.9864999999999999</v>
      </c>
      <c r="D675" s="2"/>
    </row>
    <row r="676" spans="1:4" x14ac:dyDescent="0.2">
      <c r="A676" s="2">
        <v>673</v>
      </c>
      <c r="B676" s="2" t="str">
        <f>"טוש מחיק נוזלי פנטל כחול ראש קטום כולל משאבה"</f>
        <v>טוש מחיק נוזלי פנטל כחול ראש קטום כולל משאבה</v>
      </c>
      <c r="C676" s="7">
        <v>4.3892499999999997</v>
      </c>
      <c r="D676" s="2"/>
    </row>
    <row r="677" spans="1:4" x14ac:dyDescent="0.2">
      <c r="A677" s="2">
        <v>674</v>
      </c>
      <c r="B677" s="2" t="str">
        <f>"טוש מחיק נוזלי פנטל אדום ראש קטום כולל משאבה"</f>
        <v>טוש מחיק נוזלי פנטל אדום ראש קטום כולל משאבה</v>
      </c>
      <c r="C677" s="7">
        <v>4.7512499999999998</v>
      </c>
      <c r="D677" s="2"/>
    </row>
    <row r="678" spans="1:4" x14ac:dyDescent="0.2">
      <c r="A678" s="2">
        <v>675</v>
      </c>
      <c r="B678" s="2" t="str">
        <f>"טוש מחיק נוזלי פנטל ירוק ראש קטום כולל משאבה"</f>
        <v>טוש מחיק נוזלי פנטל ירוק ראש קטום כולל משאבה</v>
      </c>
      <c r="C678" s="7">
        <v>4.7512499999999998</v>
      </c>
      <c r="D678" s="2"/>
    </row>
    <row r="679" spans="1:4" x14ac:dyDescent="0.2">
      <c r="A679" s="2">
        <v>676</v>
      </c>
      <c r="B679" s="2" t="str">
        <f>"טוש מחיק נוזלי פנטל שחור כולל משאבה ראש קטום"</f>
        <v>טוש מחיק נוזלי פנטל שחור כולל משאבה ראש קטום</v>
      </c>
      <c r="C679" s="7">
        <v>4.7512499999999998</v>
      </c>
      <c r="D679" s="2"/>
    </row>
    <row r="680" spans="1:4" x14ac:dyDescent="0.2">
      <c r="A680" s="2">
        <v>677</v>
      </c>
      <c r="B680" s="2" t="str">
        <f>"טוש מחיק נוזלי פנטל סגול ראש קטום כולל משאבה"</f>
        <v>טוש מחיק נוזלי פנטל סגול ראש קטום כולל משאבה</v>
      </c>
      <c r="C680" s="7">
        <v>4.7512499999999998</v>
      </c>
      <c r="D680" s="2"/>
    </row>
    <row r="681" spans="1:4" x14ac:dyDescent="0.2">
      <c r="A681" s="2">
        <v>678</v>
      </c>
      <c r="B681" s="2" t="str">
        <f>"עט כדורי לחצן פנטל שחור 1.0 BP130-AO"</f>
        <v>עט כדורי לחצן פנטל שחור 1.0 BP130-AO</v>
      </c>
      <c r="C681" s="7">
        <v>2.9864999999999999</v>
      </c>
      <c r="D681" s="2"/>
    </row>
    <row r="682" spans="1:4" x14ac:dyDescent="0.2">
      <c r="A682" s="2">
        <v>679</v>
      </c>
      <c r="B682" s="2" t="str">
        <f>"טוש מחיק נוזלי פנטל חום ראש קטום כולל משאבה MWL6"</f>
        <v>טוש מחיק נוזלי פנטל חום ראש קטום כולל משאבה MWL6</v>
      </c>
      <c r="C682" s="7">
        <v>4.7512499999999998</v>
      </c>
      <c r="D682" s="2"/>
    </row>
    <row r="683" spans="1:4" x14ac:dyDescent="0.2">
      <c r="A683" s="2">
        <v>680</v>
      </c>
      <c r="B683" s="2" t="str">
        <f>"טוש מחיק נוזלי פנטל כתום ראש קטום כולל משאבה"</f>
        <v>טוש מחיק נוזלי פנטל כתום ראש קטום כולל משאבה</v>
      </c>
      <c r="C683" s="7">
        <v>4.7512499999999998</v>
      </c>
      <c r="D683" s="2"/>
    </row>
    <row r="684" spans="1:4" x14ac:dyDescent="0.2">
      <c r="A684" s="2">
        <v>681</v>
      </c>
      <c r="B684" s="2" t="str">
        <f>"מחשבון שולחני CD-8188"</f>
        <v>מחשבון שולחני CD-8188</v>
      </c>
      <c r="C684" s="7">
        <v>9.5024999999999995</v>
      </c>
      <c r="D684" s="2"/>
    </row>
    <row r="685" spans="1:4" x14ac:dyDescent="0.2">
      <c r="A685" s="2">
        <v>682</v>
      </c>
      <c r="B685" s="2" t="str">
        <f>"מחשבון כיס SL-797 CASIO"</f>
        <v>מחשבון כיס SL-797 CASIO</v>
      </c>
      <c r="C685" s="7">
        <v>13.484500000000001</v>
      </c>
      <c r="D685" s="2"/>
    </row>
    <row r="686" spans="1:4" x14ac:dyDescent="0.2">
      <c r="A686" s="2">
        <v>683</v>
      </c>
      <c r="B686" s="2" t="str">
        <f>"מחשבון שולחני MW-5V-BK CASIO"</f>
        <v>מחשבון שולחני MW-5V-BK CASIO</v>
      </c>
      <c r="C686" s="7">
        <v>15.8375</v>
      </c>
      <c r="D686" s="2"/>
    </row>
    <row r="687" spans="1:4" x14ac:dyDescent="0.2">
      <c r="A687" s="2">
        <v>684</v>
      </c>
      <c r="B687" s="2" t="str">
        <f>"מחשבון שולחני MS-7T CASIO"</f>
        <v>מחשבון שולחני MS-7T CASIO</v>
      </c>
      <c r="C687" s="7">
        <v>24.435000000000002</v>
      </c>
      <c r="D687" s="2"/>
    </row>
    <row r="688" spans="1:4" x14ac:dyDescent="0.2">
      <c r="A688" s="2">
        <v>685</v>
      </c>
      <c r="B688" s="2" t="str">
        <f>"מחשבון MS-8T CASIO"</f>
        <v>מחשבון MS-8T CASIO</v>
      </c>
      <c r="C688" s="7">
        <v>21.72</v>
      </c>
      <c r="D688" s="2"/>
    </row>
    <row r="689" spans="1:4" x14ac:dyDescent="0.2">
      <c r="A689" s="2">
        <v>686</v>
      </c>
      <c r="B689" s="2" t="str">
        <f>"מחשבון שולחני בינוני JL-150"</f>
        <v>מחשבון שולחני בינוני JL-150</v>
      </c>
      <c r="C689" s="7">
        <v>9.9550000000000001</v>
      </c>
      <c r="D689" s="2"/>
    </row>
    <row r="690" spans="1:4" x14ac:dyDescent="0.2">
      <c r="A690" s="2">
        <v>687</v>
      </c>
      <c r="B690" s="2" t="str">
        <f>"מחשבון שולחני גדול JDN-2053"</f>
        <v>מחשבון שולחני גדול JDN-2053</v>
      </c>
      <c r="C690" s="7">
        <v>16.29</v>
      </c>
      <c r="D690" s="2"/>
    </row>
    <row r="691" spans="1:4" x14ac:dyDescent="0.2">
      <c r="A691" s="2">
        <v>688</v>
      </c>
      <c r="B691" s="2" t="str">
        <f>"מגרסת נייר אישית רצועות 7 -2207 דפים"</f>
        <v>מגרסת נייר אישית רצועות 7 -2207 דפים</v>
      </c>
      <c r="C691" s="7">
        <v>76.924999999999997</v>
      </c>
      <c r="D691" s="2"/>
    </row>
    <row r="692" spans="1:4" x14ac:dyDescent="0.2">
      <c r="A692" s="2">
        <v>689</v>
      </c>
      <c r="B692" s="2" t="str">
        <f>"מגרסת רצועות 23 דף מיכל 100 ליטר - EBA 2127 S  פ"</f>
        <v>מגרסת רצועות 23 דף מיכל 100 ליטר - EBA 2127 S  פ</v>
      </c>
      <c r="C692" s="7">
        <v>2449.5363500000003</v>
      </c>
      <c r="D692" s="2"/>
    </row>
    <row r="693" spans="1:4" x14ac:dyDescent="0.2">
      <c r="A693" s="2">
        <v>690</v>
      </c>
      <c r="B693" s="2" t="str">
        <f>"מגרסת רצועות 40 דף מיכל 165 ליטר - EBA 3140 S  פ"</f>
        <v>מגרסת רצועות 40 דף מיכל 165 ליטר - EBA 3140 S  פ</v>
      </c>
      <c r="C693" s="7">
        <v>5600.14</v>
      </c>
      <c r="D693" s="2"/>
    </row>
    <row r="694" spans="1:4" x14ac:dyDescent="0.2">
      <c r="A694" s="2">
        <v>691</v>
      </c>
      <c r="B694" s="2" t="str">
        <f>"מגרסת פתיתים 30  דף מיכל 165 ליטר -EBA  3140 C פ"</f>
        <v>מגרסת פתיתים 30  דף מיכל 165 ליטר -EBA  3140 C פ</v>
      </c>
      <c r="C694" s="7">
        <v>5973</v>
      </c>
      <c r="D694" s="2"/>
    </row>
    <row r="695" spans="1:4" x14ac:dyDescent="0.2">
      <c r="A695" s="2">
        <v>692</v>
      </c>
      <c r="B695" s="2" t="str">
        <f>"מגרסת רצועות 13 דף 20 ליטר ( לא נשלף)- EBA 1120"</f>
        <v>מגרסת רצועות 13 דף 20 ליטר ( לא נשלף)- EBA 1120</v>
      </c>
      <c r="C695" s="7">
        <v>497.75</v>
      </c>
      <c r="D695" s="2"/>
    </row>
    <row r="696" spans="1:4" x14ac:dyDescent="0.2">
      <c r="A696" s="2">
        <v>693</v>
      </c>
      <c r="B696" s="2" t="str">
        <f>"מגרסת נייר רצועות 22 דף OFITECH 2322ST"</f>
        <v>מגרסת נייר רצועות 22 דף OFITECH 2322ST</v>
      </c>
      <c r="C696" s="7">
        <v>452.5</v>
      </c>
      <c r="D696" s="2"/>
    </row>
    <row r="697" spans="1:4" x14ac:dyDescent="0.2">
      <c r="A697" s="2">
        <v>694</v>
      </c>
      <c r="B697" s="2" t="str">
        <f>"מגרסת פתיתים 30  דף 165  ל'- EBA 5131  CC  פתח ה"</f>
        <v>מגרסת פתיתים 30  דף 165  ל'- EBA 5131  CC  פתח ה</v>
      </c>
      <c r="C697" s="7">
        <v>9671.4363499999999</v>
      </c>
      <c r="D697" s="2"/>
    </row>
    <row r="698" spans="1:4" x14ac:dyDescent="0.2">
      <c r="A698" s="2">
        <v>695</v>
      </c>
      <c r="B698" s="2" t="str">
        <f>"מגרסת פתיתים 30  דף 165  ל'- EBA 5141 C  פתח הזנ"</f>
        <v>מגרסת פתיתים 30  דף 165  ל'- EBA 5141 C  פתח הזנ</v>
      </c>
      <c r="C698" s="7">
        <v>9671.4363499999999</v>
      </c>
      <c r="D698" s="2"/>
    </row>
    <row r="699" spans="1:4" x14ac:dyDescent="0.2">
      <c r="A699" s="2">
        <v>696</v>
      </c>
      <c r="B699" s="2" t="str">
        <f>"מגרסת  פתיתים 32 דף מיכל 80 ליטר -  JP510C פתח ה"</f>
        <v>מגרסת  פתיתים 32 דף מיכל 80 ליטר -  JP510C פתח ה</v>
      </c>
      <c r="C699" s="7">
        <v>2334.9</v>
      </c>
      <c r="D699" s="2"/>
    </row>
    <row r="700" spans="1:4" x14ac:dyDescent="0.2">
      <c r="A700" s="2">
        <v>697</v>
      </c>
      <c r="B700" s="2" t="str">
        <f>"מגרסת רצועות 50 דף מיכל 110 ליטר -  JP510S פתח ה"</f>
        <v>מגרסת רצועות 50 דף מיכל 110 ליטר -  JP510S פתח ה</v>
      </c>
      <c r="C700" s="7">
        <v>2488.75</v>
      </c>
      <c r="D700" s="2"/>
    </row>
    <row r="701" spans="1:4" x14ac:dyDescent="0.2">
      <c r="A701" s="2">
        <v>698</v>
      </c>
      <c r="B701" s="2" t="str">
        <f>"מגרסת  רצועות 24 דף מיכל 34 ליטר -  JP826S פתח ה"</f>
        <v>מגרסת  רצועות 24 דף מיכל 34 ליטר -  JP826S פתח ה</v>
      </c>
      <c r="C701" s="7">
        <v>497.75</v>
      </c>
      <c r="D701" s="2"/>
    </row>
    <row r="702" spans="1:4" x14ac:dyDescent="0.2">
      <c r="A702" s="2">
        <v>699</v>
      </c>
      <c r="B702" s="2" t="str">
        <f>"מגרסת פתיתים NU2325CC-ET25C"</f>
        <v>מגרסת פתיתים NU2325CC-ET25C</v>
      </c>
      <c r="C702" s="7">
        <v>1039.845</v>
      </c>
      <c r="D702" s="2"/>
    </row>
    <row r="703" spans="1:4" x14ac:dyDescent="0.2">
      <c r="A703" s="2">
        <v>700</v>
      </c>
      <c r="B703" s="2" t="str">
        <f>"מגרסת 17-19 דף פתיתים קטנים 39  ליטר -  U2316MCC"</f>
        <v>מגרסת 17-19 דף פתיתים קטנים 39  ליטר -  U2316MCC</v>
      </c>
      <c r="C703" s="7">
        <v>1085.095</v>
      </c>
      <c r="D703" s="2"/>
    </row>
    <row r="704" spans="1:4" x14ac:dyDescent="0.2">
      <c r="A704" s="2">
        <v>701</v>
      </c>
      <c r="B704" s="2" t="str">
        <f>"כספת בטחון דיגיטלית 35*25*25 - ES4225"</f>
        <v>כספת בטחון דיגיטלית 35*25*25 - ES4225</v>
      </c>
      <c r="C704" s="7">
        <v>217.20000000000002</v>
      </c>
      <c r="D704" s="2"/>
    </row>
    <row r="705" spans="1:4" x14ac:dyDescent="0.2">
      <c r="A705" s="2">
        <v>702</v>
      </c>
      <c r="B705" s="2" t="str">
        <f>"כספת בטחון דיגיטלית 35*37*50 - ES4250"</f>
        <v>כספת בטחון דיגיטלית 35*37*50 - ES4250</v>
      </c>
      <c r="C705" s="7">
        <v>316.75</v>
      </c>
      <c r="D705" s="2"/>
    </row>
    <row r="706" spans="1:4" x14ac:dyDescent="0.2">
      <c r="A706" s="2">
        <v>703</v>
      </c>
      <c r="B706" s="2" t="str">
        <f>"כספת בטחון דיגיטלית עמידה לאש 9*49.5 - FPS75655K"</f>
        <v>כספת בטחון דיגיטלית עמידה לאש 9*49.5 - FPS75655K</v>
      </c>
      <c r="C706" s="7">
        <v>724</v>
      </c>
      <c r="D706" s="2"/>
    </row>
    <row r="707" spans="1:4" x14ac:dyDescent="0.2">
      <c r="A707" s="2">
        <v>704</v>
      </c>
      <c r="B707" s="2" t="str">
        <f>"מכשיר למינציה ) A3 מתכת)-PDA330C"</f>
        <v>מכשיר למינציה ) A3 מתכת)-PDA330C</v>
      </c>
      <c r="C707" s="7">
        <v>316.75</v>
      </c>
      <c r="D707" s="2"/>
    </row>
    <row r="708" spans="1:4" x14ac:dyDescent="0.2">
      <c r="A708" s="2">
        <v>705</v>
      </c>
      <c r="B708" s="2" t="str">
        <f>"פילים ללמינציה 80 A4 מיקרון-100  דף במארז"</f>
        <v>פילים ללמינציה 80 A4 מיקרון-100  דף במארז</v>
      </c>
      <c r="C708" s="7">
        <v>14.48</v>
      </c>
      <c r="D708" s="2"/>
    </row>
    <row r="709" spans="1:4" x14ac:dyDescent="0.2">
      <c r="A709" s="2">
        <v>706</v>
      </c>
      <c r="B709" s="2" t="str">
        <f>"פילים ללמינציה -A3 מארז 100 דף 80 מיקרון"</f>
        <v>פילים ללמינציה -A3 מארז 100 דף 80 מיקרון</v>
      </c>
      <c r="C709" s="7">
        <v>28.96</v>
      </c>
      <c r="D709" s="2"/>
    </row>
    <row r="710" spans="1:4" x14ac:dyDescent="0.2">
      <c r="A710" s="2">
        <v>707</v>
      </c>
      <c r="B710" s="2" t="str">
        <f>"מכשיר למינציה +A3 כפתור חולץ -L32 VS"</f>
        <v>מכשיר למינציה +A3 כפתור חולץ -L32 VS</v>
      </c>
      <c r="C710" s="7">
        <v>266.97500000000002</v>
      </c>
      <c r="D710" s="2"/>
    </row>
    <row r="711" spans="1:4" x14ac:dyDescent="0.2">
      <c r="A711" s="2">
        <v>708</v>
      </c>
      <c r="B711" s="2" t="str">
        <f>"כריכה בחום 2 מ""מ עד 20 דף {100  יח בחב'}"</f>
        <v>כריכה בחום 2 מ"מ עד 20 דף {100  יח בחב'}</v>
      </c>
      <c r="C711" s="7">
        <v>89.594999999999999</v>
      </c>
      <c r="D711" s="2"/>
    </row>
    <row r="712" spans="1:4" x14ac:dyDescent="0.2">
      <c r="A712" s="2">
        <v>709</v>
      </c>
      <c r="B712" s="2" t="str">
        <f>"כריכה בחום 1 מ""מ עד 10 דף {100  יח בחב'}"</f>
        <v>כריכה בחום 1 מ"מ עד 10 דף {100  יח בחב'}</v>
      </c>
      <c r="C712" s="7">
        <v>89.594999999999999</v>
      </c>
      <c r="D712" s="2"/>
    </row>
    <row r="713" spans="1:4" x14ac:dyDescent="0.2">
      <c r="A713" s="2">
        <v>710</v>
      </c>
      <c r="B713" s="2" t="str">
        <f>"פילים ללמינציה 125 A4 מיקרון מבריק-100  דף במארז"</f>
        <v>פילים ללמינציה 125 A4 מיקרון מבריק-100  דף במארז</v>
      </c>
      <c r="C713" s="7">
        <v>53.395000000000003</v>
      </c>
      <c r="D713" s="2"/>
    </row>
    <row r="714" spans="1:4" x14ac:dyDescent="0.2">
      <c r="A714" s="2">
        <v>711</v>
      </c>
      <c r="B714" s="2" t="str">
        <f>"פילים ללמינציה 125 מיקרון 100 ) A3  יח' במארז )"</f>
        <v>פילים ללמינציה 125 מיקרון 100 ) A3  יח' במארז )</v>
      </c>
      <c r="C714" s="7">
        <v>71.495000000000005</v>
      </c>
      <c r="D714" s="2"/>
    </row>
    <row r="715" spans="1:4" x14ac:dyDescent="0.2">
      <c r="A715" s="2">
        <v>712</v>
      </c>
      <c r="B715" s="2" t="str">
        <f>"דף כריכה תחתונהA4 לבן כרומו מבריק 225 גר-100  יח"</f>
        <v>דף כריכה תחתונהA4 לבן כרומו מבריק 225 גר-100  יח</v>
      </c>
      <c r="C715" s="7">
        <v>26.245000000000001</v>
      </c>
      <c r="D715" s="2"/>
    </row>
    <row r="716" spans="1:4" x14ac:dyDescent="0.2">
      <c r="A716" s="2">
        <v>713</v>
      </c>
      <c r="B716" s="2" t="str">
        <f>"שקף מט לכריכה ) A4 חב')"</f>
        <v>שקף מט לכריכה ) A4 חב')</v>
      </c>
      <c r="C716" s="7">
        <v>26.245000000000001</v>
      </c>
      <c r="D716" s="2"/>
    </row>
    <row r="717" spans="1:4" x14ac:dyDescent="0.2">
      <c r="A717" s="2">
        <v>714</v>
      </c>
      <c r="B717" s="2" t="str">
        <f>"מנקב בינוני איכותי עד 25 דפים"</f>
        <v>מנקב בינוני איכותי עד 25 דפים</v>
      </c>
      <c r="C717" s="7">
        <v>5.9729999999999999</v>
      </c>
      <c r="D717" s="2"/>
    </row>
    <row r="718" spans="1:4" x14ac:dyDescent="0.2">
      <c r="A718" s="2">
        <v>715</v>
      </c>
      <c r="B718" s="2" t="str">
        <f>"גליל סטרץ ידני רוחב חצי מטר"</f>
        <v>גליל סטרץ ידני רוחב חצי מטר</v>
      </c>
      <c r="C718" s="7">
        <v>32.100349999999999</v>
      </c>
      <c r="D718" s="2"/>
    </row>
    <row r="719" spans="1:4" x14ac:dyDescent="0.2">
      <c r="A719" s="2">
        <v>716</v>
      </c>
      <c r="B719" s="2" t="str">
        <f>"מכשיר כריכה ספירלה חשמלי 28 דף - אופיטק GB28E"</f>
        <v>מכשיר כריכה ספירלה חשמלי 28 דף - אופיטק GB28E</v>
      </c>
      <c r="C719" s="7">
        <v>1800.95</v>
      </c>
      <c r="D719" s="2"/>
    </row>
    <row r="720" spans="1:4" x14ac:dyDescent="0.2">
      <c r="A720" s="2">
        <v>717</v>
      </c>
      <c r="B720" s="2" t="str">
        <f>"ספירלה קוטר 6 מ""מ עד 20 דף- לבן (100  יחידות)"</f>
        <v>ספירלה קוטר 6 מ"מ עד 20 דף- לבן (100  יחידות)</v>
      </c>
      <c r="C720" s="7">
        <v>19.91</v>
      </c>
      <c r="D720" s="2"/>
    </row>
    <row r="721" spans="1:4" x14ac:dyDescent="0.2">
      <c r="A721" s="2">
        <v>718</v>
      </c>
      <c r="B721" s="2" t="str">
        <f>"ספירלה קוטר 8 מ""מ עד 40 דף- שחור (100  יחידות)"</f>
        <v>ספירלה קוטר 8 מ"מ עד 40 דף- שחור (100  יחידות)</v>
      </c>
      <c r="C721" s="7">
        <v>14.48</v>
      </c>
      <c r="D721" s="2"/>
    </row>
    <row r="722" spans="1:4" x14ac:dyDescent="0.2">
      <c r="A722" s="2">
        <v>719</v>
      </c>
      <c r="B722" s="2" t="str">
        <f>"ספירלה קוטר 10 מ""מ עד55 דף- לבן (100  יחידות)"</f>
        <v>ספירלה קוטר 10 מ"מ עד55 דף- לבן (100  יחידות)</v>
      </c>
      <c r="C722" s="7">
        <v>16.29</v>
      </c>
      <c r="D722" s="2"/>
    </row>
    <row r="723" spans="1:4" x14ac:dyDescent="0.2">
      <c r="A723" s="2">
        <v>720</v>
      </c>
      <c r="B723" s="2" t="str">
        <f>"ספירלה קוטר 16 מ""מ עד120 דף- לבן (100  יחידות)"</f>
        <v>ספירלה קוטר 16 מ"מ עד120 דף- לבן (100  יחידות)</v>
      </c>
      <c r="C723" s="7">
        <v>19.91</v>
      </c>
      <c r="D723" s="2"/>
    </row>
    <row r="724" spans="1:4" x14ac:dyDescent="0.2">
      <c r="A724" s="2">
        <v>721</v>
      </c>
      <c r="B724" s="2" t="str">
        <f>"ספירלה קוטר 16 מ""מ עד120 דף- שחור (100  יחידות)"</f>
        <v>ספירלה קוטר 16 מ"מ עד120 דף- שחור (100  יחידות)</v>
      </c>
      <c r="C724" s="7">
        <v>19.91</v>
      </c>
      <c r="D724" s="2"/>
    </row>
    <row r="725" spans="1:4" x14ac:dyDescent="0.2">
      <c r="A725" s="2">
        <v>722</v>
      </c>
      <c r="B725" s="2" t="str">
        <f>"ספירלה קוטר 16 מ""מ עד120 דף- כחול (100  יחידות)"</f>
        <v>ספירלה קוטר 16 מ"מ עד120 דף- כחול (100  יחידות)</v>
      </c>
      <c r="C725" s="7">
        <v>19.91</v>
      </c>
      <c r="D725" s="2"/>
    </row>
    <row r="726" spans="1:4" x14ac:dyDescent="0.2">
      <c r="A726" s="2">
        <v>723</v>
      </c>
      <c r="B726" s="2" t="str">
        <f>"ספירלה קוטר 20 מ""מ- לבן (100  יחידות)"</f>
        <v>ספירלה קוטר 20 מ"מ- לבן (100  יחידות)</v>
      </c>
      <c r="C726" s="7">
        <v>21.72</v>
      </c>
      <c r="D726" s="2"/>
    </row>
    <row r="727" spans="1:4" x14ac:dyDescent="0.2">
      <c r="A727" s="2">
        <v>724</v>
      </c>
      <c r="B727" s="2" t="str">
        <f>"מכשיר כריכה בחום"</f>
        <v>מכשיר כריכה בחום</v>
      </c>
      <c r="C727" s="7">
        <v>226.25</v>
      </c>
      <c r="D727" s="2"/>
    </row>
    <row r="728" spans="1:4" x14ac:dyDescent="0.2">
      <c r="A728" s="2">
        <v>725</v>
      </c>
      <c r="B728" s="2" t="str">
        <f>"פילים ללמינציה 80 - A5 מיקרון"</f>
        <v>פילים ללמינציה 80 - A5 מיקרון</v>
      </c>
      <c r="C728" s="7">
        <v>7.4209999999999994</v>
      </c>
      <c r="D728" s="2"/>
    </row>
    <row r="729" spans="1:4" x14ac:dyDescent="0.2">
      <c r="A729" s="2">
        <v>726</v>
      </c>
      <c r="B729" s="2" t="str">
        <f>"חותמת פרינטי מרובעת (980-04 ) 4924 40*40"</f>
        <v>חותמת פרינטי מרובעת (980-04 ) 4924 40*40</v>
      </c>
      <c r="C729" s="7">
        <v>39.277000000000001</v>
      </c>
      <c r="D729" s="2"/>
    </row>
    <row r="730" spans="1:4" x14ac:dyDescent="0.2">
      <c r="A730" s="2">
        <v>727</v>
      </c>
      <c r="B730" s="2" t="str">
        <f>"פילים למינציה 125 ,54/86 מיקרון,)  מארז 100 יח'("</f>
        <v>פילים למינציה 125 ,54/86 מיקרון,)  מארז 100 יח'(</v>
      </c>
      <c r="C730" s="7">
        <v>12.217500000000001</v>
      </c>
      <c r="D730" s="2"/>
    </row>
    <row r="731" spans="1:4" x14ac:dyDescent="0.2">
      <c r="A731" s="2">
        <v>728</v>
      </c>
      <c r="B731" s="2" t="str">
        <f>"מכשיר למינציה A4 כולל כפתור שחרור דפים OFITECH"</f>
        <v>מכשיר למינציה A4 כולל כפתור שחרור דפים OFITECH</v>
      </c>
      <c r="C731" s="7">
        <v>129.86750000000001</v>
      </c>
      <c r="D731" s="2"/>
    </row>
    <row r="732" spans="1:4" x14ac:dyDescent="0.2">
      <c r="A732" s="2">
        <v>729</v>
      </c>
      <c r="B732" s="2" t="str">
        <f>"ספירלה 35 מ""מ (50  יח'(  שחור"</f>
        <v>ספירלה 35 מ"מ (50  יח'(  שחור</v>
      </c>
      <c r="C732" s="7">
        <v>26.245000000000001</v>
      </c>
      <c r="D732" s="2"/>
    </row>
    <row r="733" spans="1:4" x14ac:dyDescent="0.2">
      <c r="A733" s="2">
        <v>730</v>
      </c>
      <c r="B733" s="2" t="str">
        <f>"סרגל קנה מידה משולש מ""ס 6( ק.מ 1-20 1-25 1-50 1-"</f>
        <v>סרגל קנה מידה משולש מ"ס 6( ק.מ 1-20 1-25 1-50 1-</v>
      </c>
      <c r="C733" s="7">
        <v>8.0545000000000009</v>
      </c>
      <c r="D733" s="2"/>
    </row>
    <row r="734" spans="1:4" x14ac:dyDescent="0.2">
      <c r="A734" s="2">
        <v>731</v>
      </c>
      <c r="B734" s="2" t="str">
        <f>"סרגל פלסטיק 15 ס""מ"</f>
        <v>סרגל פלסטיק 15 ס"מ</v>
      </c>
      <c r="C734" s="7">
        <v>0.42535000000000001</v>
      </c>
      <c r="D734" s="2"/>
    </row>
    <row r="735" spans="1:4" x14ac:dyDescent="0.2">
      <c r="A735" s="2">
        <v>732</v>
      </c>
      <c r="B735" s="2" t="str">
        <f>"סרגל פלסטיק 30 ס""מ שקוף צבעוני"</f>
        <v>סרגל פלסטיק 30 ס"מ שקוף צבעוני</v>
      </c>
      <c r="C735" s="7">
        <v>0.49775000000000008</v>
      </c>
      <c r="D735" s="2"/>
    </row>
    <row r="736" spans="1:4" x14ac:dyDescent="0.2">
      <c r="A736" s="2">
        <v>733</v>
      </c>
      <c r="B736" s="2" t="str">
        <f>"סרגל מתכת 15 סמ"</f>
        <v>סרגל מתכת 15 סמ</v>
      </c>
      <c r="C736" s="7">
        <v>1.7738</v>
      </c>
      <c r="D736" s="2"/>
    </row>
    <row r="737" spans="1:4" x14ac:dyDescent="0.2">
      <c r="A737" s="2">
        <v>734</v>
      </c>
      <c r="B737" s="2" t="str">
        <f>"סרגל מתכת 30 סמ"</f>
        <v>סרגל מתכת 30 סמ</v>
      </c>
      <c r="C737" s="7">
        <v>1.2669999999999999</v>
      </c>
      <c r="D737" s="2"/>
    </row>
    <row r="738" spans="1:4" x14ac:dyDescent="0.2">
      <c r="A738" s="2">
        <v>735</v>
      </c>
      <c r="B738" s="2" t="str">
        <f>"סרגל מתכת40 ס''מ"</f>
        <v>סרגל מתכת40 ס''מ</v>
      </c>
      <c r="C738" s="7">
        <v>4.7060000000000004</v>
      </c>
      <c r="D738" s="2"/>
    </row>
    <row r="739" spans="1:4" x14ac:dyDescent="0.2">
      <c r="A739" s="2">
        <v>736</v>
      </c>
      <c r="B739" s="2" t="str">
        <f>"סרגל מתכת50 ס''מ"</f>
        <v>סרגל מתכת50 ס''מ</v>
      </c>
      <c r="C739" s="7">
        <v>8.8690000000000015</v>
      </c>
      <c r="D739" s="2"/>
    </row>
    <row r="740" spans="1:4" x14ac:dyDescent="0.2">
      <c r="A740" s="2">
        <v>737</v>
      </c>
      <c r="B740" s="2" t="str">
        <f>"סרגל מתכת 100 סמ"</f>
        <v>סרגל מתכת 100 סמ</v>
      </c>
      <c r="C740" s="7">
        <v>11.6745</v>
      </c>
      <c r="D740" s="2"/>
    </row>
    <row r="741" spans="1:4" x14ac:dyDescent="0.2">
      <c r="A741" s="2">
        <v>738</v>
      </c>
      <c r="B741" s="2" t="str">
        <f>"בלוק נייר סקיצה קנסון 45 גר'A4  כמות 25 דף"</f>
        <v>בלוק נייר סקיצה קנסון 45 גר'A4  כמות 25 דף</v>
      </c>
      <c r="C741" s="7">
        <v>3.4752000000000001</v>
      </c>
      <c r="D741" s="2"/>
    </row>
    <row r="742" spans="1:4" x14ac:dyDescent="0.2">
      <c r="A742" s="2">
        <v>739</v>
      </c>
      <c r="B742" s="2" t="str">
        <f>"בלוק נייר סקיצה קנסון45 גר' A3 כמות25 דף"</f>
        <v>בלוק נייר סקיצה קנסון45 גר' A3 כמות25 דף</v>
      </c>
      <c r="C742" s="7">
        <v>6.9323000000000006</v>
      </c>
      <c r="D742" s="2"/>
    </row>
    <row r="743" spans="1:4" x14ac:dyDescent="0.2">
      <c r="A743" s="2">
        <v>740</v>
      </c>
      <c r="B743" s="2" t="str">
        <f>"שבלונה אותיות א-ב כתב50 מ''מ"</f>
        <v>שבלונה אותיות א-ב כתב50 מ''מ</v>
      </c>
      <c r="C743" s="7">
        <v>17.647500000000001</v>
      </c>
      <c r="D743" s="2"/>
    </row>
    <row r="744" spans="1:4" x14ac:dyDescent="0.2">
      <c r="A744" s="2">
        <v>741</v>
      </c>
      <c r="B744" s="2" t="str">
        <f>"מחוגה לורנס מתכת לעפרון דגם 202"</f>
        <v>מחוגה לורנס מתכת לעפרון דגם 202</v>
      </c>
      <c r="C744" s="7">
        <v>6.2445000000000004</v>
      </c>
      <c r="D744" s="2"/>
    </row>
    <row r="745" spans="1:4" x14ac:dyDescent="0.2">
      <c r="A745" s="2">
        <v>742</v>
      </c>
      <c r="B745" s="2" t="str">
        <f>"ספריי צבע זהב"</f>
        <v>ספריי צבע זהב</v>
      </c>
      <c r="C745" s="7">
        <v>6.2445000000000004</v>
      </c>
      <c r="D745" s="2"/>
    </row>
    <row r="746" spans="1:4" x14ac:dyDescent="0.2">
      <c r="A746" s="2">
        <v>743</v>
      </c>
      <c r="B746" s="2" t="str">
        <f>"ספריי צבע כסף"</f>
        <v>ספריי צבע כסף</v>
      </c>
      <c r="C746" s="7">
        <v>6.2445000000000004</v>
      </c>
      <c r="D746" s="2"/>
    </row>
    <row r="747" spans="1:4" x14ac:dyDescent="0.2">
      <c r="A747" s="2">
        <v>744</v>
      </c>
      <c r="B747" s="2" t="str">
        <f>"ספריי צבע שחור*"</f>
        <v>ספריי צבע שחור*</v>
      </c>
      <c r="C747" s="7">
        <v>6.2445000000000004</v>
      </c>
      <c r="D747" s="2"/>
    </row>
    <row r="748" spans="1:4" x14ac:dyDescent="0.2">
      <c r="A748" s="2">
        <v>745</v>
      </c>
      <c r="B748" s="2" t="str">
        <f>"ספריי צבע לבן"</f>
        <v>ספריי צבע לבן</v>
      </c>
      <c r="C748" s="7">
        <v>6.2445000000000004</v>
      </c>
      <c r="D748" s="2"/>
    </row>
    <row r="749" spans="1:4" x14ac:dyDescent="0.2">
      <c r="A749" s="2">
        <v>746</v>
      </c>
      <c r="B749" s="2" t="str">
        <f>"ספריי צבע כחול"</f>
        <v>ספריי צבע כחול</v>
      </c>
      <c r="C749" s="7">
        <v>6.2445000000000004</v>
      </c>
      <c r="D749" s="2"/>
    </row>
    <row r="750" spans="1:4" x14ac:dyDescent="0.2">
      <c r="A750" s="2">
        <v>747</v>
      </c>
      <c r="B750" s="2" t="str">
        <f>"ספריי צבע אדום"</f>
        <v>ספריי צבע אדום</v>
      </c>
      <c r="C750" s="7">
        <v>6.2445000000000004</v>
      </c>
      <c r="D750" s="2"/>
    </row>
    <row r="751" spans="1:4" x14ac:dyDescent="0.2">
      <c r="A751" s="2">
        <v>748</v>
      </c>
      <c r="B751" s="2" t="str">
        <f>"ספריי צבע ירוק"</f>
        <v>ספריי צבע ירוק</v>
      </c>
      <c r="C751" s="7">
        <v>6.2445000000000004</v>
      </c>
      <c r="D751" s="2"/>
    </row>
    <row r="752" spans="1:4" x14ac:dyDescent="0.2">
      <c r="A752" s="2">
        <v>749</v>
      </c>
      <c r="B752" s="2" t="str">
        <f>"ספריי צבע צהוב"</f>
        <v>ספריי צבע צהוב</v>
      </c>
      <c r="C752" s="7">
        <v>6.2445000000000004</v>
      </c>
      <c r="D752" s="2"/>
    </row>
    <row r="753" spans="1:4" x14ac:dyDescent="0.2">
      <c r="A753" s="2">
        <v>750</v>
      </c>
      <c r="B753" s="2" t="str">
        <f>"ספריי צבע נחושת"</f>
        <v>ספריי צבע נחושת</v>
      </c>
      <c r="C753" s="7">
        <v>6.2445000000000004</v>
      </c>
      <c r="D753" s="2"/>
    </row>
    <row r="754" spans="1:4" x14ac:dyDescent="0.2">
      <c r="A754" s="2">
        <v>751</v>
      </c>
      <c r="B754" s="2" t="str">
        <f>"ספריי צבע שקוף"</f>
        <v>ספריי צבע שקוף</v>
      </c>
      <c r="C754" s="7">
        <v>6.2445000000000004</v>
      </c>
      <c r="D754" s="2"/>
    </row>
    <row r="755" spans="1:4" x14ac:dyDescent="0.2">
      <c r="A755" s="2">
        <v>752</v>
      </c>
      <c r="B755" s="2" t="str">
        <f>"גליל אל-בד100 מטר כחול"</f>
        <v>גליל אל-בד100 מטר כחול</v>
      </c>
      <c r="C755" s="7">
        <v>71.495000000000005</v>
      </c>
      <c r="D755" s="2"/>
    </row>
    <row r="756" spans="1:4" x14ac:dyDescent="0.2">
      <c r="A756" s="2">
        <v>753</v>
      </c>
      <c r="B756" s="2" t="str">
        <f>"גליל אל-בד 100 מטר ירוק"</f>
        <v>גליל אל-בד 100 מטר ירוק</v>
      </c>
      <c r="C756" s="7">
        <v>71.495000000000005</v>
      </c>
      <c r="D756" s="2"/>
    </row>
    <row r="757" spans="1:4" x14ac:dyDescent="0.2">
      <c r="A757" s="2">
        <v>754</v>
      </c>
      <c r="B757" s="2" t="str">
        <f>"גליל אל-בד 100 מטר שחור*"</f>
        <v>גליל אל-בד 100 מטר שחור*</v>
      </c>
      <c r="C757" s="7">
        <v>71.495000000000005</v>
      </c>
      <c r="D757" s="2"/>
    </row>
    <row r="758" spans="1:4" x14ac:dyDescent="0.2">
      <c r="A758" s="2">
        <v>755</v>
      </c>
      <c r="B758" s="2" t="str">
        <f>"גליל אל-בד100 מטר בורדו"</f>
        <v>גליל אל-בד100 מטר בורדו</v>
      </c>
      <c r="C758" s="7">
        <v>71.495000000000005</v>
      </c>
      <c r="D758" s="2"/>
    </row>
    <row r="759" spans="1:4" x14ac:dyDescent="0.2">
      <c r="A759" s="2">
        <v>756</v>
      </c>
      <c r="B759" s="2" t="str">
        <f>"גליל אל-בד 25מטר שחור"</f>
        <v>גליל אל-בד 25מטר שחור</v>
      </c>
      <c r="C759" s="7">
        <v>17.738000000000003</v>
      </c>
      <c r="D759" s="2"/>
    </row>
    <row r="760" spans="1:4" x14ac:dyDescent="0.2">
      <c r="A760" s="2">
        <v>757</v>
      </c>
      <c r="B760" s="2" t="str">
        <f>"גליל אל-בד 25 מטר כחול בהיר מ""ס 40"</f>
        <v>גליל אל-בד 25 מטר כחול בהיר מ"ס 40</v>
      </c>
      <c r="C760" s="7">
        <v>17.738000000000003</v>
      </c>
      <c r="D760" s="2"/>
    </row>
    <row r="761" spans="1:4" x14ac:dyDescent="0.2">
      <c r="A761" s="2">
        <v>758</v>
      </c>
      <c r="B761" s="2" t="str">
        <f>"גליל אל-בד 25מטר צהוב"</f>
        <v>גליל אל-בד 25מטר צהוב</v>
      </c>
      <c r="C761" s="7">
        <v>17.738000000000003</v>
      </c>
      <c r="D761" s="2"/>
    </row>
    <row r="762" spans="1:4" x14ac:dyDescent="0.2">
      <c r="A762" s="2">
        <v>759</v>
      </c>
      <c r="B762" s="2" t="str">
        <f>"גליל אל-בד25 מטר ירוק בהיר מ''ס50"</f>
        <v>גליל אל-בד25 מטר ירוק בהיר מ''ס50</v>
      </c>
      <c r="C762" s="7">
        <v>17.738000000000003</v>
      </c>
      <c r="D762" s="2"/>
    </row>
    <row r="763" spans="1:4" x14ac:dyDescent="0.2">
      <c r="A763" s="2">
        <v>760</v>
      </c>
      <c r="B763" s="2" t="str">
        <f>"גליל אל-בד25 מטר ורוד מ''ס62"</f>
        <v>גליל אל-בד25 מטר ורוד מ''ס62</v>
      </c>
      <c r="C763" s="7">
        <v>17.738000000000003</v>
      </c>
      <c r="D763" s="2"/>
    </row>
    <row r="764" spans="1:4" x14ac:dyDescent="0.2">
      <c r="A764" s="2">
        <v>761</v>
      </c>
      <c r="B764" s="2" t="str">
        <f>"גליל אל-בד 25מטר אדום"</f>
        <v>גליל אל-בד 25מטר אדום</v>
      </c>
      <c r="C764" s="7">
        <v>17.738000000000003</v>
      </c>
      <c r="D764" s="2"/>
    </row>
    <row r="765" spans="1:4" x14ac:dyDescent="0.2">
      <c r="A765" s="2">
        <v>762</v>
      </c>
      <c r="B765" s="2" t="str">
        <f>"גליל אל-בד25 מטר כתום"</f>
        <v>גליל אל-בד25 מטר כתום</v>
      </c>
      <c r="C765" s="7">
        <v>17.738000000000003</v>
      </c>
      <c r="D765" s="2"/>
    </row>
    <row r="766" spans="1:4" x14ac:dyDescent="0.2">
      <c r="A766" s="2">
        <v>763</v>
      </c>
      <c r="B766" s="2" t="str">
        <f>"גליל אל-בד25 מטר תכלת"</f>
        <v>גליל אל-בד25 מטר תכלת</v>
      </c>
      <c r="C766" s="7">
        <v>17.738000000000003</v>
      </c>
      <c r="D766" s="2"/>
    </row>
    <row r="767" spans="1:4" x14ac:dyDescent="0.2">
      <c r="A767" s="2">
        <v>764</v>
      </c>
      <c r="B767" s="2" t="str">
        <f>"גליל אל-בד 25 מטר חום"</f>
        <v>גליל אל-בד 25 מטר חום</v>
      </c>
      <c r="C767" s="7">
        <v>17.738000000000003</v>
      </c>
      <c r="D767" s="2"/>
    </row>
    <row r="768" spans="1:4" x14ac:dyDescent="0.2">
      <c r="A768" s="2">
        <v>765</v>
      </c>
      <c r="B768" s="2" t="str">
        <f>"גליל אל-בד25 מטר סגול כהה"</f>
        <v>גליל אל-בד25 מטר סגול כהה</v>
      </c>
      <c r="C768" s="7">
        <v>17.738000000000003</v>
      </c>
      <c r="D768" s="2"/>
    </row>
    <row r="769" spans="1:4" x14ac:dyDescent="0.2">
      <c r="A769" s="2">
        <v>766</v>
      </c>
      <c r="B769" s="2" t="str">
        <f>"גליל אל-בד 25מטר ירוק כהה מס 52"</f>
        <v>גליל אל-בד 25מטר ירוק כהה מס 52</v>
      </c>
      <c r="C769" s="7">
        <v>17.738000000000003</v>
      </c>
      <c r="D769" s="2"/>
    </row>
    <row r="770" spans="1:4" x14ac:dyDescent="0.2">
      <c r="A770" s="2">
        <v>767</v>
      </c>
      <c r="B770" s="2" t="str">
        <f>"גליל אל-בד 25מטר לבן"</f>
        <v>גליל אל-בד 25מטר לבן</v>
      </c>
      <c r="C770" s="7">
        <v>17.738000000000003</v>
      </c>
      <c r="D770" s="2"/>
    </row>
    <row r="771" spans="1:4" x14ac:dyDescent="0.2">
      <c r="A771" s="2">
        <v>768</v>
      </c>
      <c r="B771" s="2" t="str">
        <f>"גליל אל-בד 25 מטר קרם"</f>
        <v>גליל אל-בד 25 מטר קרם</v>
      </c>
      <c r="C771" s="7">
        <v>17.738000000000003</v>
      </c>
      <c r="D771" s="2"/>
    </row>
    <row r="772" spans="1:4" x14ac:dyDescent="0.2">
      <c r="A772" s="2">
        <v>769</v>
      </c>
      <c r="B772" s="2" t="str">
        <f>"גליל אל-בד 25 מטר בורדו"</f>
        <v>גליל אל-בד 25 מטר בורדו</v>
      </c>
      <c r="C772" s="7">
        <v>17.738000000000003</v>
      </c>
      <c r="D772" s="2"/>
    </row>
    <row r="773" spans="1:4" x14ac:dyDescent="0.2">
      <c r="A773" s="2">
        <v>770</v>
      </c>
      <c r="B773" s="2" t="str">
        <f>"גליל אל-בד25 מטר טורקיז"</f>
        <v>גליל אל-בד25 מטר טורקיז</v>
      </c>
      <c r="C773" s="7">
        <v>17.738000000000003</v>
      </c>
      <c r="D773" s="2"/>
    </row>
    <row r="774" spans="1:4" x14ac:dyDescent="0.2">
      <c r="A774" s="2">
        <v>771</v>
      </c>
      <c r="B774" s="2" t="str">
        <f>"גליל אל-בד 100 מטר לבן"</f>
        <v>גליל אל-בד 100 מטר לבן</v>
      </c>
      <c r="C774" s="7">
        <v>71.495000000000005</v>
      </c>
      <c r="D774" s="2"/>
    </row>
    <row r="775" spans="1:4" x14ac:dyDescent="0.2">
      <c r="A775" s="2">
        <v>772</v>
      </c>
      <c r="B775" s="2" t="str">
        <f>"סט צבעי מים*12  ארטי ((23072"</f>
        <v>סט צבעי מים*12  ארטי ((23072</v>
      </c>
      <c r="C775" s="7">
        <v>3.4842500000000003</v>
      </c>
      <c r="D775" s="2"/>
    </row>
    <row r="776" spans="1:4" x14ac:dyDescent="0.2">
      <c r="A776" s="2">
        <v>773</v>
      </c>
      <c r="B776" s="2" t="str">
        <f>"מנקב - SAX 218/208/206 SAX משרדי קטן 10 דף"</f>
        <v>מנקב - SAX 218/208/206 SAX משרדי קטן 10 דף</v>
      </c>
      <c r="C776" s="7">
        <v>8.8690000000000015</v>
      </c>
      <c r="D776" s="2"/>
    </row>
    <row r="777" spans="1:4" x14ac:dyDescent="0.2">
      <c r="A777" s="2">
        <v>774</v>
      </c>
      <c r="B777" s="2" t="str">
        <f>"מנקב SAX 418 - 406/408 SAX משרדי בנוני עד 30 דף"</f>
        <v>מנקב SAX 418 - 406/408 SAX משרדי בנוני עד 30 דף</v>
      </c>
      <c r="C777" s="7">
        <v>22.172499999999999</v>
      </c>
      <c r="D777" s="2"/>
    </row>
    <row r="778" spans="1:4" x14ac:dyDescent="0.2">
      <c r="A778" s="2">
        <v>775</v>
      </c>
      <c r="B778" s="2" t="str">
        <f>"מנקב SAX 518 = 508 /506 SAX משרדי גדול - עד 35 ד"</f>
        <v>מנקב SAX 518 = 508 /506 SAX משרדי גדול - עד 35 ד</v>
      </c>
      <c r="C778" s="7">
        <v>25.34</v>
      </c>
      <c r="D778" s="2"/>
    </row>
    <row r="779" spans="1:4" x14ac:dyDescent="0.2">
      <c r="A779" s="2">
        <v>776</v>
      </c>
      <c r="B779" s="2" t="str">
        <f>"מנקב SAX 618/608/606 SAX משרדי ענק עד 65 דף"</f>
        <v>מנקב SAX 618/608/606 SAX משרדי ענק עד 65 דף</v>
      </c>
      <c r="C779" s="7">
        <v>111.70415000000001</v>
      </c>
      <c r="D779" s="2"/>
    </row>
    <row r="780" spans="1:4" x14ac:dyDescent="0.2">
      <c r="A780" s="2">
        <v>777</v>
      </c>
      <c r="B780" s="2" t="str">
        <f>"מנקב - 908 SAX משרדי ענק - עד 160 דף"</f>
        <v>מנקב - 908 SAX משרדי ענק - עד 160 דף</v>
      </c>
      <c r="C780" s="7">
        <v>277.40965</v>
      </c>
      <c r="D780" s="2"/>
    </row>
    <row r="781" spans="1:4" x14ac:dyDescent="0.2">
      <c r="A781" s="2">
        <v>778</v>
      </c>
      <c r="B781" s="2" t="str">
        <f>"מעמד שולחני פלסטי שקוף K-238"</f>
        <v>מעמד שולחני פלסטי שקוף K-238</v>
      </c>
      <c r="C781" s="7">
        <v>7.9640000000000013</v>
      </c>
      <c r="D781" s="2"/>
    </row>
    <row r="782" spans="1:4" x14ac:dyDescent="0.2">
      <c r="A782" s="2">
        <v>779</v>
      </c>
      <c r="B782" s="2" t="str">
        <f>"קוביית ממו צבעוני עם מתקן"</f>
        <v>קוביית ממו צבעוני עם מתקן</v>
      </c>
      <c r="C782" s="7">
        <v>3.258</v>
      </c>
      <c r="D782" s="2"/>
    </row>
    <row r="783" spans="1:4" x14ac:dyDescent="0.2">
      <c r="A783" s="2">
        <v>780</v>
      </c>
      <c r="B783" s="2" t="str">
        <f>"קוביית ממו צבעוני מרובע"</f>
        <v>קוביית ממו צבעוני מרובע</v>
      </c>
      <c r="C783" s="7">
        <v>1.3122499999999999</v>
      </c>
      <c r="D783" s="2"/>
    </row>
    <row r="784" spans="1:4" x14ac:dyDescent="0.2">
      <c r="A784" s="2">
        <v>781</v>
      </c>
      <c r="B784" s="2" t="str">
        <f>"מנקב משרדי עד 50 דף"</f>
        <v>מנקב משרדי עד 50 דף</v>
      </c>
      <c r="C784" s="7">
        <v>12.67</v>
      </c>
      <c r="D784" s="2"/>
    </row>
    <row r="785" spans="1:4" x14ac:dyDescent="0.2">
      <c r="A785" s="2">
        <v>782</v>
      </c>
      <c r="B785" s="2" t="str">
        <f>"מנקב משרדי עד 80 דף"</f>
        <v>מנקב משרדי עד 80 דף</v>
      </c>
      <c r="C785" s="7">
        <v>61.956299999999999</v>
      </c>
      <c r="D785" s="2"/>
    </row>
    <row r="786" spans="1:4" x14ac:dyDescent="0.2">
      <c r="A786" s="2">
        <v>783</v>
      </c>
      <c r="B786" s="2" t="str">
        <f>"מנקב משרדי ענק עד 100 דף ארטי"</f>
        <v>מנקב משרדי ענק עד 100 דף ארטי</v>
      </c>
      <c r="C786" s="7">
        <v>167.24400000000003</v>
      </c>
      <c r="D786" s="2"/>
    </row>
    <row r="787" spans="1:4" x14ac:dyDescent="0.2">
      <c r="A787" s="2">
        <v>784</v>
      </c>
      <c r="B787" s="2" t="str">
        <f>"קוביית ממו גבוהה ""פרימיום"""</f>
        <v>קוביית ממו גבוהה "פרימיום"</v>
      </c>
      <c r="C787" s="7">
        <v>3.9820000000000007</v>
      </c>
      <c r="D787" s="2"/>
    </row>
    <row r="788" spans="1:4" x14ac:dyDescent="0.2">
      <c r="A788" s="2">
        <v>785</v>
      </c>
      <c r="B788" s="2" t="str">
        <f>"דגלונים צבעוניים 5  צבעים -3M  טרטן"</f>
        <v>דגלונים צבעוניים 5  צבעים -3M  טרטן</v>
      </c>
      <c r="C788" s="7">
        <v>14.3895</v>
      </c>
      <c r="D788" s="2"/>
    </row>
    <row r="789" spans="1:4" x14ac:dyDescent="0.2">
      <c r="A789" s="2">
        <v>786</v>
      </c>
      <c r="B789" s="2" t="str">
        <f>"דבק סטיק 8 גרם ( מארז 5 יח'3M - ("</f>
        <v>דבק סטיק 8 גרם ( מארז 5 יח'3M - (</v>
      </c>
      <c r="C789" s="7">
        <v>10.769500000000001</v>
      </c>
      <c r="D789" s="2"/>
    </row>
    <row r="790" spans="1:4" x14ac:dyDescent="0.2">
      <c r="A790" s="2">
        <v>787</v>
      </c>
      <c r="B790" s="2" t="str">
        <f>"שדכןRAPID צבת1 לסיכות66/8-66/6"</f>
        <v>שדכןRAPID צבת1 לסיכות66/8-66/6</v>
      </c>
      <c r="C790" s="7">
        <v>71.495000000000005</v>
      </c>
      <c r="D790" s="2"/>
    </row>
    <row r="791" spans="1:4" x14ac:dyDescent="0.2">
      <c r="A791" s="2">
        <v>788</v>
      </c>
      <c r="B791" s="2" t="str">
        <f>"חולץ סיכות - איגל"</f>
        <v>חולץ סיכות - איגל</v>
      </c>
      <c r="C791" s="7">
        <v>0.90500000000000003</v>
      </c>
      <c r="D791" s="2"/>
    </row>
    <row r="792" spans="1:4" x14ac:dyDescent="0.2">
      <c r="A792" s="2">
        <v>789</v>
      </c>
      <c r="B792" s="2" t="str">
        <f>"שדכן 210 ) 26/6 סיכות)"</f>
        <v>שדכן 210 ) 26/6 סיכות)</v>
      </c>
      <c r="C792" s="7">
        <v>7.8282500000000006</v>
      </c>
      <c r="D792" s="2"/>
    </row>
    <row r="793" spans="1:4" x14ac:dyDescent="0.2">
      <c r="A793" s="2">
        <v>790</v>
      </c>
      <c r="B793" s="2" t="str">
        <f>"סיכות חיבור רפיד- 66/6"</f>
        <v>סיכות חיבור רפיד- 66/6</v>
      </c>
      <c r="C793" s="7">
        <v>15.294499999999999</v>
      </c>
      <c r="D793" s="2"/>
    </row>
    <row r="794" spans="1:4" x14ac:dyDescent="0.2">
      <c r="A794" s="2">
        <v>791</v>
      </c>
      <c r="B794" s="2" t="str">
        <f>"סיכות 26/6 לשדכן"</f>
        <v>סיכות 26/6 לשדכן</v>
      </c>
      <c r="C794" s="7">
        <v>1.8009500000000001</v>
      </c>
      <c r="D794" s="2"/>
    </row>
    <row r="795" spans="1:4" x14ac:dyDescent="0.2">
      <c r="A795" s="2">
        <v>792</v>
      </c>
      <c r="B795" s="2" t="str">
        <f>"מהדקים מס'2  ניקל 100 יח'"</f>
        <v>מהדקים מס'2  ניקל 100 יח'</v>
      </c>
      <c r="C795" s="7">
        <v>0.47060000000000002</v>
      </c>
      <c r="D795" s="2"/>
    </row>
    <row r="796" spans="1:4" x14ac:dyDescent="0.2">
      <c r="A796" s="2">
        <v>793</v>
      </c>
      <c r="B796" s="2" t="str">
        <f>"מהדקים מס'5  ניקל 100 יח'"</f>
        <v>מהדקים מס'5  ניקל 100 יח'</v>
      </c>
      <c r="C796" s="7">
        <v>1.1312500000000001</v>
      </c>
      <c r="D796" s="2"/>
    </row>
    <row r="797" spans="1:4" x14ac:dyDescent="0.2">
      <c r="A797" s="2">
        <v>794</v>
      </c>
      <c r="B797" s="2" t="str">
        <f>"מהדקים מס'2  צבעוני 100 יח'"</f>
        <v>מהדקים מס'2  צבעוני 100 יח'</v>
      </c>
      <c r="C797" s="7">
        <v>2.1267500000000004</v>
      </c>
      <c r="D797" s="2"/>
    </row>
    <row r="798" spans="1:4" x14ac:dyDescent="0.2">
      <c r="A798" s="2">
        <v>795</v>
      </c>
      <c r="B798" s="2" t="str">
        <f>"נעצים (( 100  יח'"</f>
        <v>נעצים (( 100  יח'</v>
      </c>
      <c r="C798" s="7">
        <v>1.0679000000000001</v>
      </c>
      <c r="D798" s="2"/>
    </row>
    <row r="799" spans="1:4" x14ac:dyDescent="0.2">
      <c r="A799" s="2">
        <v>796</v>
      </c>
      <c r="B799" s="2" t="str">
        <f>"נעצים ראש סגור צבעוני (100  יח')"</f>
        <v>נעצים ראש סגור צבעוני (100  יח')</v>
      </c>
      <c r="C799" s="7">
        <v>1.0860000000000001</v>
      </c>
      <c r="D799" s="2"/>
    </row>
    <row r="800" spans="1:4" x14ac:dyDescent="0.2">
      <c r="A800" s="2">
        <v>797</v>
      </c>
      <c r="B800" s="2" t="str">
        <f>"סיכות ראש פלסטי עגול צבעוני 100 יח'"</f>
        <v>סיכות ראש פלסטי עגול צבעוני 100 יח'</v>
      </c>
      <c r="C800" s="7">
        <v>1.629</v>
      </c>
      <c r="D800" s="2"/>
    </row>
    <row r="801" spans="1:4" x14ac:dyDescent="0.2">
      <c r="A801" s="2">
        <v>798</v>
      </c>
      <c r="B801" s="2" t="str">
        <f>"סיכות ללוח שעם ראש פלסטי שקוף (50 יח')"</f>
        <v>סיכות ללוח שעם ראש פלסטי שקוף (50 יח')</v>
      </c>
      <c r="C801" s="7">
        <v>1.4027500000000002</v>
      </c>
      <c r="D801" s="2"/>
    </row>
    <row r="802" spans="1:4" x14ac:dyDescent="0.2">
      <c r="A802" s="2">
        <v>799</v>
      </c>
      <c r="B802" s="2" t="str">
        <f>"נעצים מתפצלים- 20 מ''מ (''100( 3/4 יח'"</f>
        <v>נעצים מתפצלים- 20 מ''מ (''100( 3/4 יח'</v>
      </c>
      <c r="C802" s="7">
        <v>5.8282000000000007</v>
      </c>
      <c r="D802" s="2"/>
    </row>
    <row r="803" spans="1:4" x14ac:dyDescent="0.2">
      <c r="A803" s="2">
        <v>800</v>
      </c>
      <c r="B803" s="2" t="str">
        <f>"סיכות ללוח שעם ראש פלסטי צבעוני ( חב'("</f>
        <v>סיכות ללוח שעם ראש פלסטי צבעוני ( חב'(</v>
      </c>
      <c r="C803" s="7">
        <v>1.2217500000000001</v>
      </c>
      <c r="D803" s="2"/>
    </row>
    <row r="804" spans="1:4" x14ac:dyDescent="0.2">
      <c r="A804" s="2">
        <v>801</v>
      </c>
      <c r="B804" s="2" t="str">
        <f>"סכין חיתוך ""יפני"" עם מעצור - קטן"</f>
        <v>סכין חיתוך "יפני" עם מעצור - קטן</v>
      </c>
      <c r="C804" s="7">
        <v>0.7964</v>
      </c>
      <c r="D804" s="2"/>
    </row>
    <row r="805" spans="1:4" x14ac:dyDescent="0.2">
      <c r="A805" s="2">
        <v>802</v>
      </c>
      <c r="B805" s="2" t="str">
        <f>"סכין חיתוך ""יפני"" עם מעצור - גדול"</f>
        <v>סכין חיתוך "יפני" עם מעצור - גדול</v>
      </c>
      <c r="C805" s="7">
        <v>0.8145</v>
      </c>
      <c r="D805" s="2"/>
    </row>
    <row r="806" spans="1:4" x14ac:dyDescent="0.2">
      <c r="A806" s="2">
        <v>803</v>
      </c>
      <c r="B806" s="2" t="str">
        <f>"סכין יפני דגם CKS-C160"</f>
        <v>סכין יפני דגם CKS-C160</v>
      </c>
      <c r="C806" s="7">
        <v>11.403</v>
      </c>
      <c r="D806" s="2"/>
    </row>
    <row r="807" spans="1:4" x14ac:dyDescent="0.2">
      <c r="A807" s="2">
        <v>804</v>
      </c>
      <c r="B807" s="2" t="str">
        <f>"אקדח רפיד- 23 אקדח סיכות להובי13/8"</f>
        <v>אקדח רפיד- 23 אקדח סיכות להובי13/8</v>
      </c>
      <c r="C807" s="7">
        <v>89.594999999999999</v>
      </c>
      <c r="D807" s="2"/>
    </row>
    <row r="808" spans="1:4" x14ac:dyDescent="0.2">
      <c r="A808" s="2">
        <v>805</v>
      </c>
      <c r="B808" s="2" t="str">
        <f>"אקדח רפיד - 33 אקדח מקצועי כח משתנה 13/14"</f>
        <v>אקדח רפיד - 33 אקדח מקצועי כח משתנה 13/14</v>
      </c>
      <c r="C808" s="7">
        <v>134.845</v>
      </c>
      <c r="D808" s="2"/>
    </row>
    <row r="809" spans="1:4" x14ac:dyDescent="0.2">
      <c r="A809" s="2">
        <v>806</v>
      </c>
      <c r="B809" s="2" t="str">
        <f>"סיכות חיבור רפיד- 13/4"</f>
        <v>סיכות חיבור רפיד- 13/4</v>
      </c>
      <c r="C809" s="7">
        <v>19.004999999999999</v>
      </c>
      <c r="D809" s="2"/>
    </row>
    <row r="810" spans="1:4" x14ac:dyDescent="0.2">
      <c r="A810" s="2">
        <v>807</v>
      </c>
      <c r="B810" s="2" t="str">
        <f>"סיכות חיבור רפיד- 13/6"</f>
        <v>סיכות חיבור רפיד- 13/6</v>
      </c>
      <c r="C810" s="7">
        <v>23.982500000000002</v>
      </c>
      <c r="D810" s="2"/>
    </row>
    <row r="811" spans="1:4" x14ac:dyDescent="0.2">
      <c r="A811" s="2">
        <v>808</v>
      </c>
      <c r="B811" s="2" t="str">
        <f>"סיכות חיבור רפיד- 13/8"</f>
        <v>סיכות חיבור רפיד- 13/8</v>
      </c>
      <c r="C811" s="7">
        <v>31.675000000000001</v>
      </c>
      <c r="D811" s="2"/>
    </row>
    <row r="812" spans="1:4" x14ac:dyDescent="0.2">
      <c r="A812" s="2">
        <v>809</v>
      </c>
      <c r="B812" s="2" t="str">
        <f>"סיכות 13/8"</f>
        <v>סיכות 13/8</v>
      </c>
      <c r="C812" s="7">
        <v>3.88245</v>
      </c>
      <c r="D812" s="2"/>
    </row>
    <row r="813" spans="1:4" x14ac:dyDescent="0.2">
      <c r="A813" s="2">
        <v>810</v>
      </c>
      <c r="B813" s="2" t="str">
        <f>"גליוטינה (סכין) ל-A3"</f>
        <v>גליוטינה (סכין) ל-A3</v>
      </c>
      <c r="C813" s="7">
        <v>180.095</v>
      </c>
      <c r="D813" s="2"/>
    </row>
    <row r="814" spans="1:4" x14ac:dyDescent="0.2">
      <c r="A814" s="2">
        <v>811</v>
      </c>
      <c r="B814" s="2" t="str">
        <f>"גליוטינה רולר A3 עד 12 דף"</f>
        <v>גליוטינה רולר A3 עד 12 דף</v>
      </c>
      <c r="C814" s="7">
        <v>153.85</v>
      </c>
      <c r="D814" s="2"/>
    </row>
    <row r="815" spans="1:4" x14ac:dyDescent="0.2">
      <c r="A815" s="2">
        <v>812</v>
      </c>
      <c r="B815" s="2" t="str">
        <f>"גליוטינה (סכין)15  דף  ל-(RC321 ) A4"</f>
        <v>גליוטינה (סכין)15  דף  ל-(RC321 ) A4</v>
      </c>
      <c r="C815" s="7">
        <v>181</v>
      </c>
      <c r="D815" s="2"/>
    </row>
    <row r="816" spans="1:4" x14ac:dyDescent="0.2">
      <c r="A816" s="2">
        <v>813</v>
      </c>
      <c r="B816" s="2" t="str">
        <f>"גליוטינה (סכין)45  דף  ל-(RC560 ) A2"</f>
        <v>גליוטינה (סכין)45  דף  ל-(RC560 ) A2</v>
      </c>
      <c r="C816" s="7">
        <v>0</v>
      </c>
      <c r="D816" s="2"/>
    </row>
    <row r="817" spans="1:4" x14ac:dyDescent="0.2">
      <c r="A817" s="2">
        <v>814</v>
      </c>
      <c r="B817" s="2" t="str">
        <f>"ארון  ממתכת ל- 40מפתחות ( א- 17ג- 20.5ע- 8.5)"</f>
        <v>ארון  ממתכת ל- 40מפתחות ( א- 17ג- 20.5ע- 8.5)</v>
      </c>
      <c r="C817" s="7">
        <v>44.344999999999999</v>
      </c>
      <c r="D817" s="2"/>
    </row>
    <row r="818" spans="1:4" x14ac:dyDescent="0.2">
      <c r="A818" s="2">
        <v>815</v>
      </c>
      <c r="B818" s="2" t="str">
        <f>"קופה מתכת עם נעילה -(20*11*8)  2"</f>
        <v>קופה מתכת עם נעילה -(20*11*8)  2</v>
      </c>
      <c r="C818" s="7">
        <v>34.842500000000001</v>
      </c>
      <c r="D818" s="2"/>
    </row>
    <row r="819" spans="1:4" x14ac:dyDescent="0.2">
      <c r="A819" s="2">
        <v>816</v>
      </c>
      <c r="B819" s="2" t="str">
        <f>"קופה מתכת עם נעילה-(26*18*8) 3"</f>
        <v>קופה מתכת עם נעילה-(26*18*8) 3</v>
      </c>
      <c r="C819" s="7">
        <v>44.344999999999999</v>
      </c>
      <c r="D819" s="2"/>
    </row>
    <row r="820" spans="1:4" x14ac:dyDescent="0.2">
      <c r="A820" s="2">
        <v>817</v>
      </c>
      <c r="B820" s="2" t="str">
        <f>"קופה מתכת עם נעילה -(30*21*8 ) 4"</f>
        <v>קופה מתכת עם נעילה -(30*21*8 ) 4</v>
      </c>
      <c r="C820" s="7">
        <v>47.06</v>
      </c>
      <c r="D820" s="2"/>
    </row>
    <row r="821" spans="1:4" x14ac:dyDescent="0.2">
      <c r="A821" s="2">
        <v>818</v>
      </c>
      <c r="B821" s="2" t="str">
        <f>"דבק סטיק איכותי קטן"</f>
        <v>דבק סטיק איכותי קטן</v>
      </c>
      <c r="C821" s="7">
        <v>0.54300000000000004</v>
      </c>
      <c r="D821" s="2"/>
    </row>
    <row r="822" spans="1:4" x14ac:dyDescent="0.2">
      <c r="A822" s="2">
        <v>819</v>
      </c>
      <c r="B822" s="2" t="str">
        <f>"דבק8 - UHU גרם - סטיק קטן"</f>
        <v>דבק8 - UHU גרם - סטיק קטן</v>
      </c>
      <c r="C822" s="7">
        <v>2.2172500000000004</v>
      </c>
      <c r="D822" s="2"/>
    </row>
    <row r="823" spans="1:4" x14ac:dyDescent="0.2">
      <c r="A823" s="2">
        <v>820</v>
      </c>
      <c r="B823" s="2" t="str">
        <f>"דבק21 UHU גרם - סטיק גדול"</f>
        <v>דבק21 UHU גרם - סטיק גדול</v>
      </c>
      <c r="C823" s="7">
        <v>4.9775</v>
      </c>
      <c r="D823" s="2"/>
    </row>
    <row r="824" spans="1:4" x14ac:dyDescent="0.2">
      <c r="A824" s="2">
        <v>821</v>
      </c>
      <c r="B824" s="2" t="str">
        <f>"דבקUHU נוזלי בשפורפרת מ''ס7 - 10 מ''ל"</f>
        <v>דבקUHU נוזלי בשפורפרת מ''ס7 - 10 מ''ל</v>
      </c>
      <c r="C824" s="7">
        <v>2.6244999999999998</v>
      </c>
      <c r="D824" s="2"/>
    </row>
    <row r="825" spans="1:4" x14ac:dyDescent="0.2">
      <c r="A825" s="2">
        <v>822</v>
      </c>
      <c r="B825" s="2" t="str">
        <f>"דבק נוזלי500 גרם שקוף"</f>
        <v>דבק נוזלי500 גרם שקוף</v>
      </c>
      <c r="C825" s="7">
        <v>9.1133500000000005</v>
      </c>
      <c r="D825" s="2"/>
    </row>
    <row r="826" spans="1:4" x14ac:dyDescent="0.2">
      <c r="A826" s="2">
        <v>823</v>
      </c>
      <c r="B826" s="2" t="str">
        <f>"דבק נוזלי 30 גרם - ספוג"</f>
        <v>דבק נוזלי 30 גרם - ספוג</v>
      </c>
      <c r="C826" s="7">
        <v>0.56110000000000004</v>
      </c>
      <c r="D826" s="2"/>
    </row>
    <row r="827" spans="1:4" x14ac:dyDescent="0.2">
      <c r="A827" s="2">
        <v>824</v>
      </c>
      <c r="B827" s="2" t="str">
        <f>"דבק שקוף בבקבוק- 35 גר' - UHU"</f>
        <v>דבק שקוף בבקבוק- 35 גר' - UHU</v>
      </c>
      <c r="C827" s="7">
        <v>6.5340999999999996</v>
      </c>
      <c r="D827" s="2"/>
    </row>
    <row r="828" spans="1:4" x14ac:dyDescent="0.2">
      <c r="A828" s="2">
        <v>825</v>
      </c>
      <c r="B828" s="2" t="str">
        <f>"דבק מהיר 3 שניות SUPER GLUE"</f>
        <v>דבק מהיר 3 שניות SUPER GLUE</v>
      </c>
      <c r="C828" s="7">
        <v>2.0905499999999999</v>
      </c>
      <c r="D828" s="2"/>
    </row>
    <row r="829" spans="1:4" x14ac:dyDescent="0.2">
      <c r="A829" s="2">
        <v>826</v>
      </c>
      <c r="B829" s="2" t="str">
        <f>"סט 2 דבק סטיק 20 גר'-  ארטי"</f>
        <v>סט 2 דבק סטיק 20 גר'-  ארטי</v>
      </c>
      <c r="C829" s="7">
        <v>3.1675</v>
      </c>
      <c r="D829" s="2"/>
    </row>
    <row r="830" spans="1:4" x14ac:dyDescent="0.2">
      <c r="A830" s="2">
        <v>827</v>
      </c>
      <c r="B830" s="2" t="str">
        <f>"דבק מסטיק להדבקה/הצמדה - בלו-טק"</f>
        <v>דבק מסטיק להדבקה/הצמדה - בלו-טק</v>
      </c>
      <c r="C830" s="7">
        <v>2.1539000000000001</v>
      </c>
      <c r="D830" s="2"/>
    </row>
    <row r="831" spans="1:4" x14ac:dyDescent="0.2">
      <c r="A831" s="2">
        <v>828</v>
      </c>
      <c r="B831" s="2" t="str">
        <f>"דבק פלסטי בבקבוק -500  גרם"</f>
        <v>דבק פלסטי בבקבוק -500  גרם</v>
      </c>
      <c r="C831" s="7">
        <v>8.5975000000000001</v>
      </c>
      <c r="D831" s="2"/>
    </row>
    <row r="832" spans="1:4" x14ac:dyDescent="0.2">
      <c r="A832" s="2">
        <v>829</v>
      </c>
      <c r="B832" s="2" t="str">
        <f>"דבק פלסטי בבקבוק- 900 גרם"</f>
        <v>דבק פלסטי בבקבוק- 900 גרם</v>
      </c>
      <c r="C832" s="7">
        <v>7.4209999999999994</v>
      </c>
      <c r="D832" s="2"/>
    </row>
    <row r="833" spans="1:4" x14ac:dyDescent="0.2">
      <c r="A833" s="2">
        <v>830</v>
      </c>
      <c r="B833" s="2" t="str">
        <f>"דבק פלסטי בבקבוק- 1 גלון (4 ליטר )"</f>
        <v>דבק פלסטי בבקבוק- 1 גלון (4 ליטר )</v>
      </c>
      <c r="C833" s="7">
        <v>20.724499999999999</v>
      </c>
      <c r="D833" s="2"/>
    </row>
    <row r="834" spans="1:4" x14ac:dyDescent="0.2">
      <c r="A834" s="2">
        <v>831</v>
      </c>
      <c r="B834" s="2" t="str">
        <f>"דבק פלסטי בבקבוק -120  גרם"</f>
        <v>דבק פלסטי בבקבוק -120  גרם</v>
      </c>
      <c r="C834" s="7">
        <v>1.0769500000000001</v>
      </c>
      <c r="D834" s="2"/>
    </row>
    <row r="835" spans="1:4" x14ac:dyDescent="0.2">
      <c r="A835" s="2">
        <v>832</v>
      </c>
      <c r="B835" s="2" t="str">
        <f>"דבקUHU סטיק40 גר 'ענק"</f>
        <v>דבקUHU סטיק40 גר 'ענק</v>
      </c>
      <c r="C835" s="7">
        <v>13.484500000000001</v>
      </c>
      <c r="D835" s="2"/>
    </row>
    <row r="836" spans="1:4" x14ac:dyDescent="0.2">
      <c r="A836" s="2">
        <v>833</v>
      </c>
      <c r="B836" s="2" t="str">
        <f>"גיר שעווה אומגה 24 יח בשרוול"</f>
        <v>גיר שעווה אומגה 24 יח בשרוול</v>
      </c>
      <c r="C836" s="7">
        <v>13.937000000000001</v>
      </c>
      <c r="D836" s="2"/>
    </row>
    <row r="837" spans="1:4" x14ac:dyDescent="0.2">
      <c r="A837" s="2">
        <v>834</v>
      </c>
      <c r="B837" s="2" t="str">
        <f>"עפרון צבעוני*-24 אומגה"</f>
        <v>עפרון צבעוני*-24 אומגה</v>
      </c>
      <c r="C837" s="7">
        <v>11.3125</v>
      </c>
      <c r="D837" s="2"/>
    </row>
    <row r="838" spans="1:4" x14ac:dyDescent="0.2">
      <c r="A838" s="2">
        <v>835</v>
      </c>
      <c r="B838" s="2" t="str">
        <f>"דבק סטיק פנטל 20 גרם"</f>
        <v>דבק סטיק פנטל 20 גרם</v>
      </c>
      <c r="C838" s="7">
        <v>3.4390000000000001</v>
      </c>
      <c r="D838" s="2"/>
    </row>
    <row r="839" spans="1:4" x14ac:dyDescent="0.2">
      <c r="A839" s="2">
        <v>836</v>
      </c>
      <c r="B839" s="2" t="str">
        <f>"דבק סטיק פליקן 20 גרם"</f>
        <v>דבק סטיק פליקן 20 גרם</v>
      </c>
      <c r="C839" s="7">
        <v>3.4842500000000003</v>
      </c>
      <c r="D839" s="2"/>
    </row>
    <row r="840" spans="1:4" x14ac:dyDescent="0.2">
      <c r="A840" s="2">
        <v>837</v>
      </c>
      <c r="B840" s="2" t="str">
        <f>"דבק סטיק פליקן 40 גרם"</f>
        <v>דבק סטיק פליקן 40 גרם</v>
      </c>
      <c r="C840" s="7">
        <v>5.3395000000000001</v>
      </c>
      <c r="D840" s="2"/>
    </row>
    <row r="841" spans="1:4" x14ac:dyDescent="0.2">
      <c r="A841" s="2">
        <v>838</v>
      </c>
      <c r="B841" s="2" t="str">
        <f>"סלוטייפ 1/2"" *30"</f>
        <v>סלוטייפ 1/2" *30</v>
      </c>
      <c r="C841" s="7">
        <v>0.44345000000000001</v>
      </c>
      <c r="D841" s="2"/>
    </row>
    <row r="842" spans="1:4" x14ac:dyDescent="0.2">
      <c r="A842" s="2">
        <v>839</v>
      </c>
      <c r="B842" s="2" t="str">
        <f>"סלוטייפ 3/4*30"</f>
        <v>סלוטייפ 3/4*30</v>
      </c>
      <c r="C842" s="7">
        <v>0.24435000000000001</v>
      </c>
      <c r="D842" s="2"/>
    </row>
    <row r="843" spans="1:4" x14ac:dyDescent="0.2">
      <c r="A843" s="2">
        <v>840</v>
      </c>
      <c r="B843" s="2" t="str">
        <f>"סלוטייפ 3/4*72"</f>
        <v>סלוטייפ 3/4*72</v>
      </c>
      <c r="C843" s="7">
        <v>2.47065</v>
      </c>
      <c r="D843" s="2"/>
    </row>
    <row r="844" spans="1:4" x14ac:dyDescent="0.2">
      <c r="A844" s="2">
        <v>841</v>
      </c>
      <c r="B844" s="2" t="str">
        <f>"סרט אריזה דביק שקוף PPL 2"" 48MM"</f>
        <v>סרט אריזה דביק שקוף PPL 2" 48MM</v>
      </c>
      <c r="C844" s="7">
        <v>1.7195</v>
      </c>
      <c r="D844" s="2"/>
    </row>
    <row r="845" spans="1:4" x14ac:dyDescent="0.2">
      <c r="A845" s="2">
        <v>842</v>
      </c>
      <c r="B845" s="2" t="str">
        <f>"סרט דביק דו שכבתי ( דו צדדי 3/4 (  אינץ"</f>
        <v>סרט דביק דו שכבתי ( דו צדדי 3/4 (  אינץ</v>
      </c>
      <c r="C845" s="7">
        <v>1.9910000000000003</v>
      </c>
      <c r="D845" s="2"/>
    </row>
    <row r="846" spans="1:4" x14ac:dyDescent="0.2">
      <c r="A846" s="2">
        <v>843</v>
      </c>
      <c r="B846" s="2" t="str">
        <f>"סרט בד צבעוני 25 מטר ""2 לבן"</f>
        <v>סרט בד צבעוני 25 מטר "2 לבן</v>
      </c>
      <c r="C846" s="7">
        <v>11.909800000000001</v>
      </c>
      <c r="D846" s="2"/>
    </row>
    <row r="847" spans="1:4" x14ac:dyDescent="0.2">
      <c r="A847" s="2">
        <v>844</v>
      </c>
      <c r="B847" s="2" t="str">
        <f>"מסקינטייפ 3/4 אינץ"</f>
        <v>מסקינטייפ 3/4 אינץ</v>
      </c>
      <c r="C847" s="7">
        <v>2.47065</v>
      </c>
      <c r="D847" s="2"/>
    </row>
    <row r="848" spans="1:4" x14ac:dyDescent="0.2">
      <c r="A848" s="2">
        <v>845</v>
      </c>
      <c r="B848" s="2" t="str">
        <f>"מסקינטייפ ""1 אינץ"</f>
        <v>מסקינטייפ "1 אינץ</v>
      </c>
      <c r="C848" s="7">
        <v>1.629</v>
      </c>
      <c r="D848" s="2"/>
    </row>
    <row r="849" spans="1:4" x14ac:dyDescent="0.2">
      <c r="A849" s="2">
        <v>846</v>
      </c>
      <c r="B849" s="2" t="str">
        <f>"מסקינטייפ ""2 אינץ"</f>
        <v>מסקינטייפ "2 אינץ</v>
      </c>
      <c r="C849" s="7">
        <v>4.8870000000000005</v>
      </c>
      <c r="D849" s="2"/>
    </row>
    <row r="850" spans="1:4" x14ac:dyDescent="0.2">
      <c r="A850" s="2">
        <v>847</v>
      </c>
      <c r="B850" s="2" t="str">
        <f>"סרט אריזה חום PPL 2"" 48MM"</f>
        <v>סרט אריזה חום PPL 2" 48MM</v>
      </c>
      <c r="C850" s="7">
        <v>2.2625000000000002</v>
      </c>
      <c r="D850" s="2"/>
    </row>
    <row r="851" spans="1:4" x14ac:dyDescent="0.2">
      <c r="A851" s="2">
        <v>848</v>
      </c>
      <c r="B851" s="2" t="str">
        <f>"סלוטייפ 3/4*36 בסט של 3 קריסטל"</f>
        <v>סלוטייפ 3/4*36 בסט של 3 קריסטל</v>
      </c>
      <c r="C851" s="7">
        <v>2.2625000000000002</v>
      </c>
      <c r="D851" s="2"/>
    </row>
    <row r="852" spans="1:4" x14ac:dyDescent="0.2">
      <c r="A852" s="2">
        <v>849</v>
      </c>
      <c r="B852" s="2" t="str">
        <f>"מכשיר ידני לאריזת קרטונים"</f>
        <v>מכשיר ידני לאריזת קרטונים</v>
      </c>
      <c r="C852" s="7">
        <v>9.0500000000000007</v>
      </c>
      <c r="D852" s="2"/>
    </row>
    <row r="853" spans="1:4" x14ac:dyDescent="0.2">
      <c r="A853" s="2">
        <v>850</v>
      </c>
      <c r="B853" s="2" t="str">
        <f>"מחזיק סלוטייפ 72 שולחני גדול"</f>
        <v>מחזיק סלוטייפ 72 שולחני גדול</v>
      </c>
      <c r="C853" s="7">
        <v>8.0545000000000009</v>
      </c>
      <c r="D853" s="2"/>
    </row>
    <row r="854" spans="1:4" x14ac:dyDescent="0.2">
      <c r="A854" s="2">
        <v>851</v>
      </c>
      <c r="B854" s="2" t="str">
        <f>"גומיות דקות מספר 100 14 גר' בקופסא*"</f>
        <v>גומיות דקות מספר 100 14 גר' בקופסא*</v>
      </c>
      <c r="C854" s="7">
        <v>2.34395</v>
      </c>
      <c r="D854" s="2"/>
    </row>
    <row r="855" spans="1:4" x14ac:dyDescent="0.2">
      <c r="A855" s="2">
        <v>852</v>
      </c>
      <c r="B855" s="2" t="str">
        <f>"גומיות דקות מספר 100 16 גר' בקופסא"</f>
        <v>גומיות דקות מספר 100 16 גר' בקופסא</v>
      </c>
      <c r="C855" s="7">
        <v>2.34395</v>
      </c>
      <c r="D855" s="2"/>
    </row>
    <row r="856" spans="1:4" x14ac:dyDescent="0.2">
      <c r="A856" s="2">
        <v>853</v>
      </c>
      <c r="B856" s="2" t="str">
        <f>"גומיות דקות מספר 100 18 גר' בקופסא"</f>
        <v>גומיות דקות מספר 100 18 גר' בקופסא</v>
      </c>
      <c r="C856" s="7">
        <v>2.34395</v>
      </c>
      <c r="D856" s="2"/>
    </row>
    <row r="857" spans="1:4" x14ac:dyDescent="0.2">
      <c r="A857" s="2">
        <v>854</v>
      </c>
      <c r="B857" s="2" t="str">
        <f>"גומיות דקות מספר 100 20 גר' בקופסא"</f>
        <v>גומיות דקות מספר 100 20 גר' בקופסא</v>
      </c>
      <c r="C857" s="7">
        <v>2.34395</v>
      </c>
      <c r="D857" s="2"/>
    </row>
    <row r="858" spans="1:4" x14ac:dyDescent="0.2">
      <c r="A858" s="2">
        <v>855</v>
      </c>
      <c r="B858" s="2" t="str">
        <f>"גומיות דקות מספר 100 22 גר' בקופסא"</f>
        <v>גומיות דקות מספר 100 22 גר' בקופסא</v>
      </c>
      <c r="C858" s="7">
        <v>2.34395</v>
      </c>
      <c r="D858" s="2"/>
    </row>
    <row r="859" spans="1:4" x14ac:dyDescent="0.2">
      <c r="A859" s="2">
        <v>856</v>
      </c>
      <c r="B859" s="2" t="str">
        <f>"גומיות דקות מספר 100 24 גר' בקופסא"</f>
        <v>גומיות דקות מספר 100 24 גר' בקופסא</v>
      </c>
      <c r="C859" s="7">
        <v>2.34395</v>
      </c>
      <c r="D859" s="2"/>
    </row>
    <row r="860" spans="1:4" x14ac:dyDescent="0.2">
      <c r="A860" s="2">
        <v>857</v>
      </c>
      <c r="B860" s="2" t="str">
        <f>"גומיות דקות מספר 100 26 גר' בקופסא"</f>
        <v>גומיות דקות מספר 100 26 גר' בקופסא</v>
      </c>
      <c r="C860" s="7">
        <v>2.34395</v>
      </c>
      <c r="D860" s="2"/>
    </row>
    <row r="861" spans="1:4" x14ac:dyDescent="0.2">
      <c r="A861" s="2">
        <v>858</v>
      </c>
      <c r="B861" s="2" t="str">
        <f>"גומיות דקות מספר 100 30 גר' בקופסא"</f>
        <v>גומיות דקות מספר 100 30 גר' בקופסא</v>
      </c>
      <c r="C861" s="7">
        <v>2.34395</v>
      </c>
      <c r="D861" s="2"/>
    </row>
    <row r="862" spans="1:4" x14ac:dyDescent="0.2">
      <c r="A862" s="2">
        <v>859</v>
      </c>
      <c r="B862" s="2" t="str">
        <f>"גומיות דקות מספר 100 28 גר' בקופסא"</f>
        <v>גומיות דקות מספר 100 28 גר' בקופסא</v>
      </c>
      <c r="C862" s="7">
        <v>2.34395</v>
      </c>
      <c r="D862" s="2"/>
    </row>
    <row r="863" spans="1:4" x14ac:dyDescent="0.2">
      <c r="A863" s="2">
        <v>860</v>
      </c>
      <c r="B863" s="2" t="str">
        <f>"גומיות דקות מספר 100 12 גר' בקופסא"</f>
        <v>גומיות דקות מספר 100 12 גר' בקופסא</v>
      </c>
      <c r="C863" s="7">
        <v>2.34395</v>
      </c>
      <c r="D863" s="2"/>
    </row>
    <row r="864" spans="1:4" x14ac:dyDescent="0.2">
      <c r="A864" s="2">
        <v>861</v>
      </c>
      <c r="B864" s="2" t="str">
        <f>"מחדד מתכת"</f>
        <v>מחדד מתכת</v>
      </c>
      <c r="C864" s="7">
        <v>0.60635000000000006</v>
      </c>
      <c r="D864" s="2"/>
    </row>
    <row r="865" spans="1:4" x14ac:dyDescent="0.2">
      <c r="A865" s="2">
        <v>862</v>
      </c>
      <c r="B865" s="2" t="str">
        <f>"ערכת עזרה ראשונה"</f>
        <v>ערכת עזרה ראשונה</v>
      </c>
      <c r="C865" s="7">
        <v>76.924999999999997</v>
      </c>
      <c r="D865" s="2"/>
    </row>
    <row r="866" spans="1:4" x14ac:dyDescent="0.2">
      <c r="A866" s="2">
        <v>863</v>
      </c>
      <c r="B866" s="2" t="str">
        <f>"ארון עזרה ראשונה (בר 2001002-(100"</f>
        <v>ארון עזרה ראשונה (בר 2001002-(100</v>
      </c>
      <c r="C866" s="7">
        <v>230.77500000000001</v>
      </c>
      <c r="D866" s="2"/>
    </row>
    <row r="867" spans="1:4" x14ac:dyDescent="0.2">
      <c r="A867" s="2">
        <v>864</v>
      </c>
      <c r="B867" s="2" t="str">
        <f>"דיו לחותמות - אדום"</f>
        <v>דיו לחותמות - אדום</v>
      </c>
      <c r="C867" s="7">
        <v>1.58375</v>
      </c>
      <c r="D867" s="2"/>
    </row>
    <row r="868" spans="1:4" x14ac:dyDescent="0.2">
      <c r="A868" s="2">
        <v>865</v>
      </c>
      <c r="B868" s="2" t="str">
        <f>"דיו לחותמות - כחול"</f>
        <v>דיו לחותמות - כחול</v>
      </c>
      <c r="C868" s="7">
        <v>1.58375</v>
      </c>
      <c r="D868" s="2"/>
    </row>
    <row r="869" spans="1:4" x14ac:dyDescent="0.2">
      <c r="A869" s="2">
        <v>866</v>
      </c>
      <c r="B869" s="2" t="str">
        <f>"בקבוק דיו לקוראי שקים (-(900029 מזרחי"</f>
        <v>בקבוק דיו לקוראי שקים (-(900029 מזרחי</v>
      </c>
      <c r="C869" s="7">
        <v>1.58375</v>
      </c>
      <c r="D869" s="2"/>
    </row>
    <row r="870" spans="1:4" x14ac:dyDescent="0.2">
      <c r="A870" s="2">
        <v>867</v>
      </c>
      <c r="B870" s="2" t="str">
        <f>"סל רשת מפלסטיק קטן (שחור/כחול כהה/חום)"</f>
        <v>סל רשת מפלסטיק קטן (שחור/כחול כהה/חום)</v>
      </c>
      <c r="C870" s="7">
        <v>3.5747500000000003</v>
      </c>
      <c r="D870" s="2"/>
    </row>
    <row r="871" spans="1:4" x14ac:dyDescent="0.2">
      <c r="A871" s="2">
        <v>868</v>
      </c>
      <c r="B871" s="2" t="str">
        <f>"פח רשת מתכת שחור"</f>
        <v>פח רשת מתכת שחור</v>
      </c>
      <c r="C871" s="7">
        <v>12.67</v>
      </c>
      <c r="D871" s="2"/>
    </row>
    <row r="872" spans="1:4" x14ac:dyDescent="0.2">
      <c r="A872" s="2">
        <v>869</v>
      </c>
      <c r="B872" s="2" t="str">
        <f>"פח רשת מתכת כסוף"</f>
        <v>פח רשת מתכת כסוף</v>
      </c>
      <c r="C872" s="7">
        <v>13.484500000000001</v>
      </c>
      <c r="D872" s="2"/>
    </row>
    <row r="873" spans="1:4" x14ac:dyDescent="0.2">
      <c r="A873" s="2">
        <v>870</v>
      </c>
      <c r="B873" s="2" t="str">
        <f>"דיו לחותמות - שחור*"</f>
        <v>דיו לחותמות - שחור*</v>
      </c>
      <c r="C873" s="7">
        <v>1.58375</v>
      </c>
      <c r="D873" s="2"/>
    </row>
    <row r="874" spans="1:4" x14ac:dyDescent="0.2">
      <c r="A874" s="2">
        <v>871</v>
      </c>
      <c r="B874" s="2" t="str">
        <f>"דיו לחותמות- סגול"</f>
        <v>דיו לחותמות- סגול</v>
      </c>
      <c r="C874" s="7">
        <v>1.58375</v>
      </c>
      <c r="D874" s="2"/>
    </row>
    <row r="875" spans="1:4" x14ac:dyDescent="0.2">
      <c r="A875" s="2">
        <v>872</v>
      </c>
      <c r="B875" s="2" t="str">
        <f>"חותמת תאריכון -TRODAT 4810 סיטקו"</f>
        <v>חותמת תאריכון -TRODAT 4810 סיטקו</v>
      </c>
      <c r="C875" s="7">
        <v>25.34</v>
      </c>
      <c r="D875" s="2"/>
    </row>
    <row r="876" spans="1:4" x14ac:dyDescent="0.2">
      <c r="A876" s="2">
        <v>873</v>
      </c>
      <c r="B876" s="2" t="str">
        <f>"חותמת תאריכון (980-08 ) -TRODAT 4750"</f>
        <v>חותמת תאריכון (980-08 ) -TRODAT 4750</v>
      </c>
      <c r="C876" s="7">
        <v>41.811000000000007</v>
      </c>
      <c r="D876" s="2"/>
    </row>
    <row r="877" spans="1:4" x14ac:dyDescent="0.2">
      <c r="A877" s="2">
        <v>874</v>
      </c>
      <c r="B877" s="2" t="str">
        <f>"פח אשפה עם ידית ומכסה 9 ליטר - מעורב צבעים"</f>
        <v>פח אשפה עם ידית ומכסה 9 ליטר - מעורב צבעים</v>
      </c>
      <c r="C877" s="7">
        <v>16.1995</v>
      </c>
      <c r="D877" s="2"/>
    </row>
    <row r="878" spans="1:4" x14ac:dyDescent="0.2">
      <c r="A878" s="2">
        <v>875</v>
      </c>
      <c r="B878" s="2" t="str">
        <f>"פח אשפה עם מכסה שובך25 ליטר- אפור"</f>
        <v>פח אשפה עם מכסה שובך25 ליטר- אפור</v>
      </c>
      <c r="C878" s="7">
        <v>22.625</v>
      </c>
      <c r="D878" s="2"/>
    </row>
    <row r="879" spans="1:4" x14ac:dyDescent="0.2">
      <c r="A879" s="2">
        <v>876</v>
      </c>
      <c r="B879" s="2" t="str">
        <f>"פח אשפה עם מכסה שובך50 ליטר- לבן"</f>
        <v>פח אשפה עם מכסה שובך50 ליטר- לבן</v>
      </c>
      <c r="C879" s="7">
        <v>40.725000000000001</v>
      </c>
      <c r="D879" s="2"/>
    </row>
    <row r="880" spans="1:4" x14ac:dyDescent="0.2">
      <c r="A880" s="2">
        <v>877</v>
      </c>
      <c r="B880" s="2" t="str">
        <f>"מעמד רשת לנייר ממו מתכת שחורה -02/005"</f>
        <v>מעמד רשת לנייר ממו מתכת שחורה -02/005</v>
      </c>
      <c r="C880" s="7">
        <v>7.1495000000000006</v>
      </c>
      <c r="D880" s="2"/>
    </row>
    <row r="881" spans="1:4" x14ac:dyDescent="0.2">
      <c r="A881" s="2">
        <v>878</v>
      </c>
      <c r="B881" s="2" t="str">
        <f>"מעמד אקרילי       210 דגם      172"</f>
        <v>מעמד אקרילי       210 דגם      172</v>
      </c>
      <c r="C881" s="7">
        <v>11.6745</v>
      </c>
      <c r="D881" s="2"/>
    </row>
    <row r="882" spans="1:4" x14ac:dyDescent="0.2">
      <c r="A882" s="2">
        <v>879</v>
      </c>
      <c r="B882" s="2" t="str">
        <f>"מעמד שולחני לשם מפלסטיק (( 5.5*22"</f>
        <v>מעמד שולחני לשם מפלסטיק (( 5.5*22</v>
      </c>
      <c r="C882" s="7">
        <v>16.29</v>
      </c>
      <c r="D882" s="2"/>
    </row>
    <row r="883" spans="1:4" x14ac:dyDescent="0.2">
      <c r="A883" s="2">
        <v>880</v>
      </c>
      <c r="B883" s="2" t="str">
        <f>"דיספנסר ידני אטום ( לסלוטייפ )"</f>
        <v>דיספנסר ידני אטום ( לסלוטייפ )</v>
      </c>
      <c r="C883" s="7">
        <v>0.95930000000000004</v>
      </c>
      <c r="D883" s="2"/>
    </row>
    <row r="884" spans="1:4" x14ac:dyDescent="0.2">
      <c r="A884" s="2">
        <v>881</v>
      </c>
      <c r="B884" s="2" t="str">
        <f>"סיכות לשדכן-10"</f>
        <v>סיכות לשדכן-10</v>
      </c>
      <c r="C884" s="7">
        <v>0.44345000000000001</v>
      </c>
      <c r="D884" s="2"/>
    </row>
    <row r="885" spans="1:4" x14ac:dyDescent="0.2">
      <c r="A885" s="2">
        <v>882</v>
      </c>
      <c r="B885" s="2" t="str">
        <f>"מחזיק סלוטייפ 36 שולחני בינוני"</f>
        <v>מחזיק סלוטייפ 36 שולחני בינוני</v>
      </c>
      <c r="C885" s="7">
        <v>3.5295000000000001</v>
      </c>
      <c r="D885" s="2"/>
    </row>
    <row r="886" spans="1:4" x14ac:dyDescent="0.2">
      <c r="A886" s="2">
        <v>883</v>
      </c>
      <c r="B886" s="2" t="str">
        <f>"סרט אריזה  2"" PVC שקוף"</f>
        <v>סרט אריזה  2" PVC שקוף</v>
      </c>
      <c r="C886" s="7">
        <v>3.4390000000000001</v>
      </c>
      <c r="D886" s="2"/>
    </row>
    <row r="887" spans="1:4" x14ac:dyDescent="0.2">
      <c r="A887" s="2">
        <v>884</v>
      </c>
      <c r="B887" s="2" t="str">
        <f>"מחזיק סלוטייפ שולחני קטן"</f>
        <v>מחזיק סלוטייפ שולחני קטן</v>
      </c>
      <c r="C887" s="7">
        <v>2.8960000000000004</v>
      </c>
      <c r="D887" s="2"/>
    </row>
    <row r="888" spans="1:4" x14ac:dyDescent="0.2">
      <c r="A888" s="2">
        <v>885</v>
      </c>
      <c r="B888" s="2" t="str">
        <f>"מספריים -5.5 אינץ"</f>
        <v>מספריים -5.5 אינץ</v>
      </c>
      <c r="C888" s="7">
        <v>0.58825000000000005</v>
      </c>
      <c r="D888" s="2"/>
    </row>
    <row r="889" spans="1:4" x14ac:dyDescent="0.2">
      <c r="A889" s="2">
        <v>886</v>
      </c>
      <c r="B889" s="2" t="str">
        <f>"מספריים -8.5 אינץ (פופ)"</f>
        <v>מספריים -8.5 אינץ (פופ)</v>
      </c>
      <c r="C889" s="7">
        <v>1.1765000000000001</v>
      </c>
      <c r="D889" s="2"/>
    </row>
    <row r="890" spans="1:4" x14ac:dyDescent="0.2">
      <c r="A890" s="2">
        <v>887</v>
      </c>
      <c r="B890" s="2" t="str">
        <f>"סיכות חיבור רפיד- 66/8"</f>
        <v>סיכות חיבור רפיד- 66/8</v>
      </c>
      <c r="C890" s="7">
        <v>17.647500000000001</v>
      </c>
      <c r="D890" s="2"/>
    </row>
    <row r="891" spans="1:4" x14ac:dyDescent="0.2">
      <c r="A891" s="2">
        <v>888</v>
      </c>
      <c r="B891" s="2" t="str">
        <f>"דוקרן ממתכת"</f>
        <v>דוקרן ממתכת</v>
      </c>
      <c r="C891" s="7">
        <v>3.8010000000000002</v>
      </c>
      <c r="D891" s="2"/>
    </row>
    <row r="892" spans="1:4" x14ac:dyDescent="0.2">
      <c r="A892" s="2">
        <v>889</v>
      </c>
      <c r="B892" s="2" t="str">
        <f>"מספריים גדולים ידית שחורה"</f>
        <v>מספריים גדולים ידית שחורה</v>
      </c>
      <c r="C892" s="7">
        <v>2.5339999999999998</v>
      </c>
      <c r="D892" s="2"/>
    </row>
    <row r="893" spans="1:4" x14ac:dyDescent="0.2">
      <c r="A893" s="2">
        <v>890</v>
      </c>
      <c r="B893" s="2" t="str">
        <f>"מספריים קטנים ידית שחורה"</f>
        <v>מספריים קטנים ידית שחורה</v>
      </c>
      <c r="C893" s="7">
        <v>3.6109500000000003</v>
      </c>
      <c r="D893" s="2"/>
    </row>
    <row r="894" spans="1:4" x14ac:dyDescent="0.2">
      <c r="A894" s="2">
        <v>891</v>
      </c>
      <c r="B894" s="2" t="str">
        <f>"ארון  ממתכת ל- 20מפתחות ( א- 17ג- 20.5ע- 8)"</f>
        <v>ארון  ממתכת ל- 20מפתחות ( א- 17ג- 20.5ע- 8)</v>
      </c>
      <c r="C894" s="7">
        <v>19.91</v>
      </c>
      <c r="D894" s="2"/>
    </row>
    <row r="895" spans="1:4" x14ac:dyDescent="0.2">
      <c r="A895" s="2">
        <v>892</v>
      </c>
      <c r="B895" s="2" t="str">
        <f>"חותמת עגולה R40"</f>
        <v>חותמת עגולה R40</v>
      </c>
      <c r="C895" s="7">
        <v>31.675000000000001</v>
      </c>
      <c r="D895" s="2"/>
    </row>
    <row r="896" spans="1:4" x14ac:dyDescent="0.2">
      <c r="A896" s="2">
        <v>893</v>
      </c>
      <c r="B896" s="2" t="str">
        <f>"לחצן שחור32 ממ   ארטי (6 יח)"</f>
        <v>לחצן שחור32 ממ   ארטי (6 יח)</v>
      </c>
      <c r="C896" s="7">
        <v>2.8507500000000001</v>
      </c>
      <c r="D896" s="2"/>
    </row>
    <row r="897" spans="1:4" x14ac:dyDescent="0.2">
      <c r="A897" s="2">
        <v>894</v>
      </c>
      <c r="B897" s="2" t="str">
        <f>"לחצן שחור19 ממ   ארטי (12 יח)"</f>
        <v>לחצן שחור19 ממ   ארטי (12 יח)</v>
      </c>
      <c r="C897" s="7">
        <v>2.9141000000000004</v>
      </c>
      <c r="D897" s="2"/>
    </row>
    <row r="898" spans="1:4" x14ac:dyDescent="0.2">
      <c r="A898" s="2">
        <v>895</v>
      </c>
      <c r="B898" s="2" t="str">
        <f>"כרית 4910 אדומה -TRODAT סיטקו"</f>
        <v>כרית 4910 אדומה -TRODAT סיטקו</v>
      </c>
      <c r="C898" s="7">
        <v>11.149600000000001</v>
      </c>
      <c r="D898" s="2"/>
    </row>
    <row r="899" spans="1:4" x14ac:dyDescent="0.2">
      <c r="A899" s="2">
        <v>896</v>
      </c>
      <c r="B899" s="2" t="str">
        <f>"כרית 4912 אדומה -TRODAT סיטקו"</f>
        <v>כרית 4912 אדומה -TRODAT סיטקו</v>
      </c>
      <c r="C899" s="7">
        <v>9.0500000000000007</v>
      </c>
      <c r="D899" s="2"/>
    </row>
    <row r="900" spans="1:4" x14ac:dyDescent="0.2">
      <c r="A900" s="2">
        <v>897</v>
      </c>
      <c r="B900" s="2" t="str">
        <f>"לוח מחיק מגנטי  80*120 מסגרת אלומיניום"</f>
        <v>לוח מחיק מגנטי  80*120 מסגרת אלומיניום</v>
      </c>
      <c r="C900" s="7">
        <v>99.55</v>
      </c>
      <c r="D900" s="2"/>
    </row>
    <row r="901" spans="1:4" x14ac:dyDescent="0.2">
      <c r="A901" s="2">
        <v>898</v>
      </c>
      <c r="B901" s="2" t="str">
        <f>"מספריים זקס איכותיות 6 צבעוני-5165"</f>
        <v>מספריים זקס איכותיות 6 צבעוני-5165</v>
      </c>
      <c r="C901" s="7">
        <v>4.3078000000000003</v>
      </c>
      <c r="D901" s="2"/>
    </row>
    <row r="902" spans="1:4" x14ac:dyDescent="0.2">
      <c r="A902" s="2">
        <v>899</v>
      </c>
      <c r="B902" s="2" t="str">
        <f>"מספריים זקס איכותיות 8.5 צבעוני-5215"</f>
        <v>מספריים זקס איכותיות 8.5 צבעוני-5215</v>
      </c>
      <c r="C902" s="7">
        <v>4.7060000000000004</v>
      </c>
      <c r="D902" s="2"/>
    </row>
    <row r="903" spans="1:4" x14ac:dyDescent="0.2">
      <c r="A903" s="2">
        <v>900</v>
      </c>
      <c r="B903" s="2" t="str">
        <f>"לחצן ניקל 50ממ ארטי ( 4יח)"</f>
        <v>לחצן ניקל 50ממ ארטי ( 4יח)</v>
      </c>
      <c r="C903" s="7">
        <v>2.8960000000000004</v>
      </c>
      <c r="D903" s="2"/>
    </row>
    <row r="904" spans="1:4" x14ac:dyDescent="0.2">
      <c r="A904" s="2">
        <v>901</v>
      </c>
      <c r="B904" s="2" t="str">
        <f>"מספריים -6.5 אינץ אריזה חדשה"</f>
        <v>מספריים -6.5 אינץ אריזה חדשה</v>
      </c>
      <c r="C904" s="7">
        <v>1.81</v>
      </c>
      <c r="D904" s="2"/>
    </row>
    <row r="905" spans="1:4" x14ac:dyDescent="0.2">
      <c r="A905" s="2">
        <v>902</v>
      </c>
      <c r="B905" s="2" t="str">
        <f>"סלוטייפ  3/4 *36   סט של 3"</f>
        <v>סלוטייפ  3/4 *36   סט של 3</v>
      </c>
      <c r="C905" s="7">
        <v>1.5385</v>
      </c>
      <c r="D905" s="2"/>
    </row>
    <row r="906" spans="1:4" x14ac:dyDescent="0.2">
      <c r="A906" s="2">
        <v>903</v>
      </c>
      <c r="B906" s="2" t="str">
        <f>"נייר פחם מולטיפילם 100 דף שחור"</f>
        <v>נייר פחם מולטיפילם 100 דף שחור</v>
      </c>
      <c r="C906" s="7">
        <v>26.154499999999999</v>
      </c>
      <c r="D906" s="2"/>
    </row>
    <row r="907" spans="1:4" x14ac:dyDescent="0.2">
      <c r="A907" s="2">
        <v>904</v>
      </c>
      <c r="B907" s="2" t="str">
        <f>"לוח פליפצ'רט מחיק מגנטי ללא גלגלים"</f>
        <v>לוח פליפצ'רט מחיק מגנטי ללא גלגלים</v>
      </c>
      <c r="C907" s="7">
        <v>198.19499999999999</v>
      </c>
      <c r="D907" s="2"/>
    </row>
    <row r="908" spans="1:4" x14ac:dyDescent="0.2">
      <c r="A908" s="2">
        <v>905</v>
      </c>
      <c r="B908" s="2" t="str">
        <f>"לוח שעם 40*60"</f>
        <v>לוח שעם 40*60</v>
      </c>
      <c r="C908" s="7">
        <v>22.625</v>
      </c>
      <c r="D908" s="2"/>
    </row>
    <row r="909" spans="1:4" x14ac:dyDescent="0.2">
      <c r="A909" s="2">
        <v>906</v>
      </c>
      <c r="B909" s="2" t="str">
        <f>"לוח שעם 60*80"</f>
        <v>לוח שעם 60*80</v>
      </c>
      <c r="C909" s="7">
        <v>24.435000000000002</v>
      </c>
      <c r="D909" s="2"/>
    </row>
    <row r="910" spans="1:4" x14ac:dyDescent="0.2">
      <c r="A910" s="2">
        <v>907</v>
      </c>
      <c r="B910" s="2" t="str">
        <f>"לוח שעם 80*120"</f>
        <v>לוח שעם 80*120</v>
      </c>
      <c r="C910" s="7">
        <v>40.725000000000001</v>
      </c>
      <c r="D910" s="2"/>
    </row>
    <row r="911" spans="1:4" x14ac:dyDescent="0.2">
      <c r="A911" s="2">
        <v>908</v>
      </c>
      <c r="B911" s="2" t="str">
        <f>"לוח מחיק לבן 60*80"</f>
        <v>לוח מחיק לבן 60*80</v>
      </c>
      <c r="C911" s="7">
        <v>26.154499999999999</v>
      </c>
      <c r="D911" s="2"/>
    </row>
    <row r="912" spans="1:4" x14ac:dyDescent="0.2">
      <c r="A912" s="2">
        <v>909</v>
      </c>
      <c r="B912" s="2" t="str">
        <f>"לוח מחיק לבן 80*120"</f>
        <v>לוח מחיק לבן 80*120</v>
      </c>
      <c r="C912" s="7">
        <v>62.445</v>
      </c>
      <c r="D912" s="2"/>
    </row>
    <row r="913" spans="1:4" x14ac:dyDescent="0.2">
      <c r="A913" s="2">
        <v>910</v>
      </c>
      <c r="B913" s="2" t="str">
        <f>"לוח מחיק מגנטי 40*30מסגרת אלומיניום"</f>
        <v>לוח מחיק מגנטי 40*30מסגרת אלומיניום</v>
      </c>
      <c r="C913" s="7">
        <v>17.195</v>
      </c>
      <c r="D913" s="2"/>
    </row>
    <row r="914" spans="1:4" x14ac:dyDescent="0.2">
      <c r="A914" s="2">
        <v>911</v>
      </c>
      <c r="B914" s="2" t="str">
        <f>"לוח מחיק מגנטי 60*80מסגרת אלומיניום"</f>
        <v>לוח מחיק מגנטי 60*80מסגרת אלומיניום</v>
      </c>
      <c r="C914" s="7">
        <v>40.272500000000001</v>
      </c>
      <c r="D914" s="2"/>
    </row>
    <row r="915" spans="1:4" x14ac:dyDescent="0.2">
      <c r="A915" s="2">
        <v>912</v>
      </c>
      <c r="B915" s="2" t="str">
        <f>"חולץ סיכות מספריים"</f>
        <v>חולץ סיכות מספריים</v>
      </c>
      <c r="C915" s="7">
        <v>1.3574999999999999</v>
      </c>
      <c r="D915" s="2"/>
    </row>
    <row r="916" spans="1:4" x14ac:dyDescent="0.2">
      <c r="A916" s="2">
        <v>913</v>
      </c>
      <c r="B916" s="2" t="str">
        <f>"סרט TZE231שחור על רקע לבן 12מ""מ PT-300/1000/H105"</f>
        <v>סרט TZE231שחור על רקע לבן 12מ"מ PT-300/1000/H105</v>
      </c>
      <c r="C916" s="7">
        <v>66.97</v>
      </c>
      <c r="D916" s="2"/>
    </row>
    <row r="917" spans="1:4" x14ac:dyDescent="0.2">
      <c r="A917" s="2">
        <v>914</v>
      </c>
      <c r="B917" s="2" t="str">
        <f>"גיר מדרכה ג'מבו צבעוני (12 יח'("</f>
        <v>גיר מדרכה ג'מבו צבעוני (12 יח'(</v>
      </c>
      <c r="C917" s="7">
        <v>6.9685000000000006</v>
      </c>
      <c r="D917" s="2"/>
    </row>
    <row r="918" spans="1:4" x14ac:dyDescent="0.2">
      <c r="A918" s="2">
        <v>915</v>
      </c>
      <c r="B918" s="2" t="str">
        <f>"סיכות חיבור 20-50 - 23/8  דף"</f>
        <v>סיכות חיבור 20-50 - 23/8  דף</v>
      </c>
      <c r="C918" s="7">
        <v>3.7376499999999999</v>
      </c>
      <c r="D918" s="2"/>
    </row>
    <row r="919" spans="1:4" x14ac:dyDescent="0.2">
      <c r="A919" s="2">
        <v>916</v>
      </c>
      <c r="B919" s="2" t="str">
        <f>"סיכות חיבור 40-70 -23/10 דף"</f>
        <v>סיכות חיבור 40-70 -23/10 דף</v>
      </c>
      <c r="C919" s="7">
        <v>5.5205000000000002</v>
      </c>
      <c r="D919" s="2"/>
    </row>
    <row r="920" spans="1:4" x14ac:dyDescent="0.2">
      <c r="A920" s="2">
        <v>917</v>
      </c>
      <c r="B920" s="2" t="str">
        <f>"סיכות חיבור 70-100 -23/13 דף"</f>
        <v>סיכות חיבור 70-100 -23/13 דף</v>
      </c>
      <c r="C920" s="7">
        <v>6.0182500000000001</v>
      </c>
      <c r="D920" s="2"/>
    </row>
    <row r="921" spans="1:4" x14ac:dyDescent="0.2">
      <c r="A921" s="2">
        <v>918</v>
      </c>
      <c r="B921" s="2" t="str">
        <f>"סיכות חיבור 23/15"</f>
        <v>סיכות חיבור 23/15</v>
      </c>
      <c r="C921" s="7">
        <v>7.5296000000000003</v>
      </c>
      <c r="D921" s="2"/>
    </row>
    <row r="922" spans="1:4" x14ac:dyDescent="0.2">
      <c r="A922" s="2">
        <v>919</v>
      </c>
      <c r="B922" s="2" t="str">
        <f>"סיכות חיבור 23/23"</f>
        <v>סיכות חיבור 23/23</v>
      </c>
      <c r="C922" s="7">
        <v>9.8192500000000003</v>
      </c>
      <c r="D922" s="2"/>
    </row>
    <row r="923" spans="1:4" x14ac:dyDescent="0.2">
      <c r="A923" s="2">
        <v>920</v>
      </c>
      <c r="B923" s="2" t="str">
        <f>"שדכן - 26/6 -349 SAX איכותי בינוני"</f>
        <v>שדכן - 26/6 -349 SAX איכותי בינוני</v>
      </c>
      <c r="C923" s="7">
        <v>8.9595000000000002</v>
      </c>
      <c r="D923" s="2"/>
    </row>
    <row r="924" spans="1:4" x14ac:dyDescent="0.2">
      <c r="A924" s="2">
        <v>921</v>
      </c>
      <c r="B924" s="2" t="str">
        <f>"שדכן - 26/6 - 49 SAX איכותי ענק 359"</f>
        <v>שדכן - 26/6 - 49 SAX איכותי ענק 359</v>
      </c>
      <c r="C924" s="7">
        <v>16.29</v>
      </c>
      <c r="D924" s="2"/>
    </row>
    <row r="925" spans="1:4" x14ac:dyDescent="0.2">
      <c r="A925" s="2">
        <v>922</v>
      </c>
      <c r="B925" s="2" t="str">
        <f>"שדכן גודל 10 ס""מ RAION"</f>
        <v>שדכן גודל 10 ס"מ RAION</v>
      </c>
      <c r="C925" s="7">
        <v>2.1720000000000002</v>
      </c>
      <c r="D925" s="2"/>
    </row>
    <row r="926" spans="1:4" x14ac:dyDescent="0.2">
      <c r="A926" s="2">
        <v>923</v>
      </c>
      <c r="B926" s="2" t="str">
        <f>"לוח מחיקה מגנטי 120*240 מסגרת אלומיניום"</f>
        <v>לוח מחיקה מגנטי 120*240 מסגרת אלומיניום</v>
      </c>
      <c r="C926" s="7">
        <v>529.42500000000007</v>
      </c>
      <c r="D926" s="2"/>
    </row>
    <row r="927" spans="1:4" x14ac:dyDescent="0.2">
      <c r="A927" s="2">
        <v>924</v>
      </c>
      <c r="B927" s="2" t="str">
        <f>"שדכן 10 איכותי -ארטי"</f>
        <v>שדכן 10 איכותי -ארטי</v>
      </c>
      <c r="C927" s="7">
        <v>2.2625000000000002</v>
      </c>
      <c r="D927" s="2"/>
    </row>
    <row r="928" spans="1:4" x14ac:dyDescent="0.2">
      <c r="A928" s="2">
        <v>925</v>
      </c>
      <c r="B928" s="2" t="str">
        <f>"משענת ג'ל למקלדת"</f>
        <v>משענת ג'ל למקלדת</v>
      </c>
      <c r="C928" s="7">
        <v>27.150000000000002</v>
      </c>
      <c r="D928" s="2"/>
    </row>
    <row r="929" spans="1:4" x14ac:dyDescent="0.2">
      <c r="A929" s="2">
        <v>926</v>
      </c>
      <c r="B929" s="2" t="str">
        <f>"גומיות רחבות מספר 100 18 גר'"</f>
        <v>גומיות רחבות מספר 100 18 גר'</v>
      </c>
      <c r="C929" s="7">
        <v>2.34395</v>
      </c>
      <c r="D929" s="2"/>
    </row>
    <row r="930" spans="1:4" x14ac:dyDescent="0.2">
      <c r="A930" s="2">
        <v>927</v>
      </c>
      <c r="B930" s="2" t="str">
        <f>"גומיות רחבות מספר 100 24 גר'"</f>
        <v>גומיות רחבות מספר 100 24 גר'</v>
      </c>
      <c r="C930" s="7">
        <v>2.34395</v>
      </c>
      <c r="D930" s="2"/>
    </row>
    <row r="931" spans="1:4" x14ac:dyDescent="0.2">
      <c r="A931" s="2">
        <v>928</v>
      </c>
      <c r="B931" s="2" t="str">
        <f>"חותמת -P-55 קולופ ((980-17"</f>
        <v>חותמת -P-55 קולופ ((980-17</v>
      </c>
      <c r="C931" s="7">
        <v>63.35</v>
      </c>
      <c r="D931" s="2"/>
    </row>
    <row r="932" spans="1:4" x14ac:dyDescent="0.2">
      <c r="A932" s="2">
        <v>929</v>
      </c>
      <c r="B932" s="2" t="str">
        <f>"ארון מפתחות ממתכת ל-) 96 א-24 ג-30 ע-( 9"</f>
        <v>ארון מפתחות ממתכת ל-) 96 א-24 ג-30 ע-( 9</v>
      </c>
      <c r="C932" s="7">
        <v>58.825000000000003</v>
      </c>
      <c r="D932" s="2"/>
    </row>
    <row r="933" spans="1:4" x14ac:dyDescent="0.2">
      <c r="A933" s="2">
        <v>930</v>
      </c>
      <c r="B933" s="2" t="str">
        <f>"שדכן RAION - 26/6 HS-45"</f>
        <v>שדכן RAION - 26/6 HS-45</v>
      </c>
      <c r="C933" s="7">
        <v>4.7060000000000004</v>
      </c>
      <c r="D933" s="2"/>
    </row>
    <row r="934" spans="1:4" x14ac:dyDescent="0.2">
      <c r="A934" s="2">
        <v>931</v>
      </c>
      <c r="B934" s="2" t="str">
        <f>"סרט TZE535 לבן/כחול 12 מ""מ PT-300/1000/H105"</f>
        <v>סרט TZE535 לבן/כחול 12 מ"מ PT-300/1000/H105</v>
      </c>
      <c r="C934" s="7">
        <v>80.545000000000002</v>
      </c>
      <c r="D934" s="2"/>
    </row>
    <row r="935" spans="1:4" x14ac:dyDescent="0.2">
      <c r="A935" s="2">
        <v>932</v>
      </c>
      <c r="B935" s="2" t="str">
        <f>"שדכן 150 SAX איכותי"</f>
        <v>שדכן 150 SAX איכותי</v>
      </c>
      <c r="C935" s="7">
        <v>26.154499999999999</v>
      </c>
      <c r="D935" s="2"/>
    </row>
    <row r="936" spans="1:4" x14ac:dyDescent="0.2">
      <c r="A936" s="2">
        <v>933</v>
      </c>
      <c r="B936" s="2" t="str">
        <f>"שדכן 399 SAX עד 200 דף"</f>
        <v>שדכן 399 SAX עד 200 דף</v>
      </c>
      <c r="C936" s="7">
        <v>224.4581</v>
      </c>
      <c r="D936" s="2"/>
    </row>
    <row r="937" spans="1:4" x14ac:dyDescent="0.2">
      <c r="A937" s="2">
        <v>934</v>
      </c>
      <c r="B937" s="2" t="str">
        <f>"לוח מחיק זכוכית מגנטי ) 90*120 כולל הובלה והרכבה"</f>
        <v>לוח מחיק זכוכית מגנטי ) 90*120 כולל הובלה והרכבה</v>
      </c>
      <c r="C937" s="7">
        <v>533.95000000000005</v>
      </c>
      <c r="D937" s="2"/>
    </row>
    <row r="938" spans="1:4" x14ac:dyDescent="0.2">
      <c r="A938" s="2">
        <v>935</v>
      </c>
      <c r="B938" s="2" t="str">
        <f>"לוח מחיק זכוכית מגנטי ) 100*150 כולל הובלה והרכב"</f>
        <v>לוח מחיק זכוכית מגנטי ) 100*150 כולל הובלה והרכב</v>
      </c>
      <c r="C938" s="7">
        <v>895.95</v>
      </c>
      <c r="D938" s="2"/>
    </row>
    <row r="939" spans="1:4" x14ac:dyDescent="0.2">
      <c r="A939" s="2">
        <v>936</v>
      </c>
      <c r="B939" s="2" t="str">
        <f>"גומי לחותמת - סריקה ממוחשבת"</f>
        <v>גומי לחותמת - סריקה ממוחשבת</v>
      </c>
      <c r="C939" s="7">
        <v>31.041499999999999</v>
      </c>
      <c r="D939" s="2"/>
    </row>
    <row r="940" spans="1:4" x14ac:dyDescent="0.2">
      <c r="A940" s="2">
        <v>937</v>
      </c>
      <c r="B940" s="2" t="str">
        <f>"מנקב - 325/315 SAX משרדי בינוני עד 20 דף"</f>
        <v>מנקב - 325/315 SAX משרדי בינוני עד 20 דף</v>
      </c>
      <c r="C940" s="7">
        <v>21.6295</v>
      </c>
      <c r="D940" s="2"/>
    </row>
    <row r="941" spans="1:4" x14ac:dyDescent="0.2">
      <c r="A941" s="2">
        <v>938</v>
      </c>
      <c r="B941" s="2" t="str">
        <f>"פלסטלינה8 אצבעות עבה"</f>
        <v>פלסטלינה8 אצבעות עבה</v>
      </c>
      <c r="C941" s="7">
        <v>4.0724999999999998</v>
      </c>
      <c r="D941" s="2"/>
    </row>
    <row r="942" spans="1:4" x14ac:dyDescent="0.2">
      <c r="A942" s="2">
        <v>939</v>
      </c>
      <c r="B942" s="2" t="str">
        <f>"גומי לחותמות 1 שורה ((980-10"</f>
        <v>גומי לחותמות 1 שורה ((980-10</v>
      </c>
      <c r="C942" s="7">
        <v>7.24</v>
      </c>
      <c r="D942" s="2"/>
    </row>
    <row r="943" spans="1:4" x14ac:dyDescent="0.2">
      <c r="A943" s="2">
        <v>940</v>
      </c>
      <c r="B943" s="2" t="str">
        <f>"גומי לחותמות 2 שורות ((980-11"</f>
        <v>גומי לחותמות 2 שורות ((980-11</v>
      </c>
      <c r="C943" s="7">
        <v>10.86</v>
      </c>
      <c r="D943" s="2"/>
    </row>
    <row r="944" spans="1:4" x14ac:dyDescent="0.2">
      <c r="A944" s="2">
        <v>941</v>
      </c>
      <c r="B944" s="2" t="str">
        <f>"גומי לחותמות 3 שורות"</f>
        <v>גומי לחותמות 3 שורות</v>
      </c>
      <c r="C944" s="7">
        <v>16.29</v>
      </c>
      <c r="D944" s="2"/>
    </row>
    <row r="945" spans="1:4" x14ac:dyDescent="0.2">
      <c r="A945" s="2">
        <v>942</v>
      </c>
      <c r="B945" s="2" t="str">
        <f>"גומי לחותמות 4 שורות"</f>
        <v>גומי לחותמות 4 שורות</v>
      </c>
      <c r="C945" s="7">
        <v>21.72</v>
      </c>
      <c r="D945" s="2"/>
    </row>
    <row r="946" spans="1:4" x14ac:dyDescent="0.2">
      <c r="A946" s="2">
        <v>943</v>
      </c>
      <c r="B946" s="2" t="str">
        <f>"גומי לחותמות 5 שורות"</f>
        <v>גומי לחותמות 5 שורות</v>
      </c>
      <c r="C946" s="7">
        <v>31.675000000000001</v>
      </c>
      <c r="D946" s="2"/>
    </row>
    <row r="947" spans="1:4" x14ac:dyDescent="0.2">
      <c r="A947" s="2">
        <v>944</v>
      </c>
      <c r="B947" s="2" t="str">
        <f>"חותמת (980-05 ) 4910"</f>
        <v>חותמת (980-05 ) 4910</v>
      </c>
      <c r="C947" s="7">
        <v>9.9550000000000001</v>
      </c>
      <c r="D947" s="2"/>
    </row>
    <row r="948" spans="1:4" x14ac:dyDescent="0.2">
      <c r="A948" s="2">
        <v>945</v>
      </c>
      <c r="B948" s="2" t="str">
        <f>"חותמת 4911  (980-12 ) COLOP PRINTER 20"</f>
        <v>חותמת 4911  (980-12 ) COLOP PRINTER 20</v>
      </c>
      <c r="C948" s="7">
        <v>13.575000000000001</v>
      </c>
      <c r="D948" s="2"/>
    </row>
    <row r="949" spans="1:4" x14ac:dyDescent="0.2">
      <c r="A949" s="2">
        <v>946</v>
      </c>
      <c r="B949" s="2" t="str">
        <f>"חותמת (980-07 ) 4912"</f>
        <v>חותמת (980-07 ) 4912</v>
      </c>
      <c r="C949" s="7">
        <v>22.625</v>
      </c>
      <c r="D949" s="2"/>
    </row>
    <row r="950" spans="1:4" x14ac:dyDescent="0.2">
      <c r="A950" s="2">
        <v>947</v>
      </c>
      <c r="B950" s="2" t="str">
        <f>"מסגרת לתמונה 21*30 טבעי"</f>
        <v>מסגרת לתמונה 21*30 טבעי</v>
      </c>
      <c r="C950" s="7">
        <v>13.1225</v>
      </c>
      <c r="D950" s="2"/>
    </row>
    <row r="951" spans="1:4" x14ac:dyDescent="0.2">
      <c r="A951" s="2">
        <v>948</v>
      </c>
      <c r="B951" s="2" t="str">
        <f>"מהדקים מס'8  ג'מבו ענק מתכת(50  יח')"</f>
        <v>מהדקים מס'8  ג'מבו ענק מתכת(50  יח')</v>
      </c>
      <c r="C951" s="7">
        <v>4.9775</v>
      </c>
      <c r="D951" s="2"/>
    </row>
    <row r="952" spans="1:4" x14ac:dyDescent="0.2">
      <c r="A952" s="2">
        <v>949</v>
      </c>
      <c r="B952" s="2" t="str">
        <f>"שקף A4 לכריכה 100 יח'150  מיקרון מבריק"</f>
        <v>שקף A4 לכריכה 100 יח'150  מיקרון מבריק</v>
      </c>
      <c r="C952" s="7">
        <v>26.245000000000001</v>
      </c>
      <c r="D952" s="2"/>
    </row>
    <row r="953" spans="1:4" x14ac:dyDescent="0.2">
      <c r="A953" s="2">
        <v>950</v>
      </c>
      <c r="B953" s="2" t="str">
        <f>"מעמד לתלית פרוספקטים -3  תאים"</f>
        <v>מעמד לתלית פרוספקטים -3  תאים</v>
      </c>
      <c r="C953" s="7">
        <v>80.545000000000002</v>
      </c>
      <c r="D953" s="2"/>
    </row>
    <row r="954" spans="1:4" x14ac:dyDescent="0.2">
      <c r="A954" s="2">
        <v>951</v>
      </c>
      <c r="B954" s="2" t="str">
        <f>"תיבת דואר ל- A4 מס' 2"</f>
        <v>תיבת דואר ל- A4 מס' 2</v>
      </c>
      <c r="C954" s="7">
        <v>62.445</v>
      </c>
      <c r="D954" s="2"/>
    </row>
    <row r="955" spans="1:4" x14ac:dyDescent="0.2">
      <c r="A955" s="2">
        <v>952</v>
      </c>
      <c r="B955" s="2" t="str">
        <f>"גומי לחותמות 7 שורות"</f>
        <v>גומי לחותמות 7 שורות</v>
      </c>
      <c r="C955" s="7">
        <v>38.01</v>
      </c>
      <c r="D955" s="2"/>
    </row>
    <row r="956" spans="1:4" x14ac:dyDescent="0.2">
      <c r="A956" s="2">
        <v>953</v>
      </c>
      <c r="B956" s="2" t="str">
        <f>"גומיות רחבות מספר 100 30 גר'"</f>
        <v>גומיות רחבות מספר 100 30 גר'</v>
      </c>
      <c r="C956" s="7">
        <v>2.34395</v>
      </c>
      <c r="D956" s="2"/>
    </row>
    <row r="957" spans="1:4" x14ac:dyDescent="0.2">
      <c r="A957" s="2">
        <v>954</v>
      </c>
      <c r="B957" s="2" t="str">
        <f>"מכונת ספירלה עד 450 דף (ניקוב 20 דף(BM-2000"</f>
        <v>מכונת ספירלה עד 450 דף (ניקוב 20 דף(BM-2000</v>
      </c>
      <c r="C957" s="7">
        <v>357.47500000000002</v>
      </c>
      <c r="D957" s="2"/>
    </row>
    <row r="958" spans="1:4" x14ac:dyDescent="0.2">
      <c r="A958" s="2">
        <v>955</v>
      </c>
      <c r="B958" s="2" t="str">
        <f>"שדכן - 23/17 - 299 SAX איכותי עד 130 דף"</f>
        <v>שדכן - 23/17 - 299 SAX איכותי עד 130 דף</v>
      </c>
      <c r="C958" s="7">
        <v>180.2217</v>
      </c>
      <c r="D958" s="2"/>
    </row>
    <row r="959" spans="1:4" x14ac:dyDescent="0.2">
      <c r="A959" s="2">
        <v>956</v>
      </c>
      <c r="B959" s="2" t="str">
        <f>"מנקב 50 720 דף -RAION"</f>
        <v>מנקב 50 720 דף -RAION</v>
      </c>
      <c r="C959" s="7">
        <v>20.905500000000004</v>
      </c>
      <c r="D959" s="2"/>
    </row>
    <row r="960" spans="1:4" x14ac:dyDescent="0.2">
      <c r="A960" s="2">
        <v>957</v>
      </c>
      <c r="B960" s="2" t="str">
        <f>"סלוטייפ לא נראה בצילום 3/4*36"</f>
        <v>סלוטייפ לא נראה בצילום 3/4*36</v>
      </c>
      <c r="C960" s="7">
        <v>2.0814999999999997</v>
      </c>
      <c r="D960" s="2"/>
    </row>
    <row r="961" spans="1:4" x14ac:dyDescent="0.2">
      <c r="A961" s="2">
        <v>958</v>
      </c>
      <c r="B961" s="2" t="str">
        <f>"טוש דק בכוס על בסיס מים (96 יח ) גיאוטו"</f>
        <v>טוש דק בכוס על בסיס מים (96 יח ) גיאוטו</v>
      </c>
      <c r="C961" s="7">
        <v>36.109499999999997</v>
      </c>
      <c r="D961" s="2"/>
    </row>
    <row r="962" spans="1:4" x14ac:dyDescent="0.2">
      <c r="A962" s="2">
        <v>959</v>
      </c>
      <c r="B962" s="2" t="str">
        <f>"טוש עבה בכוס על בסיס מים 48 יח  גיאוטו"</f>
        <v>טוש עבה בכוס על בסיס מים 48 יח  גיאוטו</v>
      </c>
      <c r="C962" s="7">
        <v>36.109499999999997</v>
      </c>
      <c r="D962" s="2"/>
    </row>
    <row r="963" spans="1:4" x14ac:dyDescent="0.2">
      <c r="A963" s="2">
        <v>960</v>
      </c>
      <c r="B963" s="2" t="str">
        <f>"סרט בד צבעוני 25 מטר ""2 ירוק"</f>
        <v>סרט בד צבעוני 25 מטר "2 ירוק</v>
      </c>
      <c r="C963" s="7">
        <v>11.909800000000001</v>
      </c>
      <c r="D963" s="2"/>
    </row>
    <row r="964" spans="1:4" x14ac:dyDescent="0.2">
      <c r="A964" s="2">
        <v>961</v>
      </c>
      <c r="B964" s="2" t="str">
        <f>"סרט בד צבעוני 25 מטר ""2 אדום"</f>
        <v>סרט בד צבעוני 25 מטר "2 אדום</v>
      </c>
      <c r="C964" s="7">
        <v>11.909800000000001</v>
      </c>
      <c r="D964" s="2"/>
    </row>
    <row r="965" spans="1:4" x14ac:dyDescent="0.2">
      <c r="A965" s="2">
        <v>962</v>
      </c>
      <c r="B965" s="2" t="str">
        <f>"סרט בד צבעוני 25 מטר ""2 כחול"</f>
        <v>סרט בד צבעוני 25 מטר "2 כחול</v>
      </c>
      <c r="C965" s="7">
        <v>11.909800000000001</v>
      </c>
      <c r="D965" s="2"/>
    </row>
    <row r="966" spans="1:4" x14ac:dyDescent="0.2">
      <c r="A966" s="2">
        <v>963</v>
      </c>
      <c r="B966" s="2" t="str">
        <f>"סרט בד צבעוני 25 מטר ""2 שחור*"</f>
        <v>סרט בד צבעוני 25 מטר "2 שחור*</v>
      </c>
      <c r="C966" s="7">
        <v>11.909800000000001</v>
      </c>
      <c r="D966" s="2"/>
    </row>
    <row r="967" spans="1:4" x14ac:dyDescent="0.2">
      <c r="A967" s="2">
        <v>964</v>
      </c>
      <c r="B967" s="2" t="str">
        <f>"סרט בד צבעוני 25 מטר ""2 צהוב"</f>
        <v>סרט בד צבעוני 25 מטר "2 צהוב</v>
      </c>
      <c r="C967" s="7">
        <v>11.909800000000001</v>
      </c>
      <c r="D967" s="2"/>
    </row>
    <row r="968" spans="1:4" x14ac:dyDescent="0.2">
      <c r="A968" s="2">
        <v>965</v>
      </c>
      <c r="B968" s="2" t="str">
        <f>"סרט בד צבעוני 25  מטר ""2 חום"</f>
        <v>סרט בד צבעוני 25  מטר "2 חום</v>
      </c>
      <c r="C968" s="7">
        <v>11.909800000000001</v>
      </c>
      <c r="D968" s="2"/>
    </row>
    <row r="969" spans="1:4" x14ac:dyDescent="0.2">
      <c r="A969" s="2">
        <v>966</v>
      </c>
      <c r="B969" s="2" t="str">
        <f>"שבלונות אומגה מספרים + מערוך לבצק ( מארז)"</f>
        <v>שבלונות אומגה מספרים + מערוך לבצק ( מארז)</v>
      </c>
      <c r="C969" s="7">
        <v>15.204000000000001</v>
      </c>
      <c r="D969" s="2"/>
    </row>
    <row r="970" spans="1:4" x14ac:dyDescent="0.2">
      <c r="A970" s="2">
        <v>967</v>
      </c>
      <c r="B970" s="2" t="str">
        <f>"מנקב 25  520 דף -RAION"</f>
        <v>מנקב 25  520 דף -RAION</v>
      </c>
      <c r="C970" s="7">
        <v>8.5975000000000001</v>
      </c>
      <c r="D970" s="2"/>
    </row>
    <row r="971" spans="1:4" x14ac:dyDescent="0.2">
      <c r="A971" s="2">
        <v>968</v>
      </c>
      <c r="B971" s="2" t="str">
        <f>"טוש עבה בכוס על בסיס מים (48 יח ) אומגה"</f>
        <v>טוש עבה בכוס על בסיס מים (48 יח ) אומגה</v>
      </c>
      <c r="C971" s="7">
        <v>26.697500000000002</v>
      </c>
      <c r="D971" s="2"/>
    </row>
    <row r="972" spans="1:4" x14ac:dyDescent="0.2">
      <c r="A972" s="2">
        <v>969</v>
      </c>
      <c r="B972" s="2" t="str">
        <f>"סט6 מגנטים 3 ס""מ"</f>
        <v>סט6 מגנטים 3 ס"מ</v>
      </c>
      <c r="C972" s="7">
        <v>1.3484499999999999</v>
      </c>
      <c r="D972" s="2"/>
    </row>
    <row r="973" spans="1:4" x14ac:dyDescent="0.2">
      <c r="A973" s="2">
        <v>970</v>
      </c>
      <c r="B973" s="2" t="str">
        <f>"מסגרת לתמונות A4 מסגרת אלומיניום"</f>
        <v>מסגרת לתמונות A4 מסגרת אלומיניום</v>
      </c>
      <c r="C973" s="7">
        <v>13.575000000000001</v>
      </c>
      <c r="D973" s="2"/>
    </row>
    <row r="974" spans="1:4" x14ac:dyDescent="0.2">
      <c r="A974" s="2">
        <v>971</v>
      </c>
      <c r="B974" s="2" t="str">
        <f>"מסגרת לתמונותA4 מסגרת עץ יוקרתית"</f>
        <v>מסגרת לתמונותA4 מסגרת עץ יוקרתית</v>
      </c>
      <c r="C974" s="7">
        <v>11.765000000000001</v>
      </c>
      <c r="D974" s="2"/>
    </row>
    <row r="975" spans="1:4" x14ac:dyDescent="0.2">
      <c r="A975" s="2">
        <v>972</v>
      </c>
      <c r="B975" s="2" t="str">
        <f>"כרית E/R-40 אדומה- קולופ"</f>
        <v>כרית E/R-40 אדומה- קולופ</v>
      </c>
      <c r="C975" s="7">
        <v>14.48</v>
      </c>
      <c r="D975" s="2"/>
    </row>
    <row r="976" spans="1:4" x14ac:dyDescent="0.2">
      <c r="A976" s="2">
        <v>973</v>
      </c>
      <c r="B976" s="2" t="str">
        <f>"משטח לעכבר חלק"</f>
        <v>משטח לעכבר חלק</v>
      </c>
      <c r="C976" s="7">
        <v>3.8462499999999999</v>
      </c>
      <c r="D976" s="2"/>
    </row>
    <row r="977" spans="1:4" x14ac:dyDescent="0.2">
      <c r="A977" s="2">
        <v>974</v>
      </c>
      <c r="B977" s="2" t="str">
        <f>"חותמת תאריכון R30"</f>
        <v>חותמת תאריכון R30</v>
      </c>
      <c r="C977" s="7">
        <v>66.517499999999998</v>
      </c>
      <c r="D977" s="2"/>
    </row>
    <row r="978" spans="1:4" x14ac:dyDescent="0.2">
      <c r="A978" s="2">
        <v>975</v>
      </c>
      <c r="B978" s="2" t="str">
        <f>"טונר לייזר HP-Q2612Aשחור למדפסת"</f>
        <v>טונר לייזר HP-Q2612Aשחור למדפסת</v>
      </c>
      <c r="C978" s="7">
        <v>252.495</v>
      </c>
      <c r="D978" s="2"/>
    </row>
    <row r="979" spans="1:4" x14ac:dyDescent="0.2">
      <c r="A979" s="2">
        <v>976</v>
      </c>
      <c r="B979" s="2" t="str">
        <f>"משטח לעכבר+משענת ארגונומית ג'ל ליד"</f>
        <v>משטח לעכבר+משענת ארגונומית ג'ל ליד</v>
      </c>
      <c r="C979" s="7">
        <v>15.294499999999999</v>
      </c>
      <c r="D979" s="2"/>
    </row>
    <row r="980" spans="1:4" x14ac:dyDescent="0.2">
      <c r="A980" s="2">
        <v>977</v>
      </c>
      <c r="B980" s="2" t="str">
        <f>"מעמד לכונן מפלסטיק+CPU גלגלים"</f>
        <v>מעמד לכונן מפלסטיק+CPU גלגלים</v>
      </c>
      <c r="C980" s="7">
        <v>25.7925</v>
      </c>
      <c r="D980" s="2"/>
    </row>
    <row r="981" spans="1:4" x14ac:dyDescent="0.2">
      <c r="A981" s="2">
        <v>978</v>
      </c>
      <c r="B981" s="2" t="str">
        <f>"רמקולים למחשב USB MULLER M-128/100"</f>
        <v>רמקולים למחשב USB MULLER M-128/100</v>
      </c>
      <c r="C981" s="7">
        <v>17.83755</v>
      </c>
      <c r="D981" s="2"/>
    </row>
    <row r="982" spans="1:4" x14ac:dyDescent="0.2">
      <c r="A982" s="2">
        <v>979</v>
      </c>
      <c r="B982" s="2" t="str">
        <f>"עכבר אופטי חוטי למחשב נייד NE USB OM-290/280 USB"</f>
        <v>עכבר אופטי חוטי למחשב נייד NE USB OM-290/280 USB</v>
      </c>
      <c r="C982" s="7">
        <v>10.135999999999999</v>
      </c>
      <c r="D982" s="2"/>
    </row>
    <row r="983" spans="1:4" x14ac:dyDescent="0.2">
      <c r="A983" s="2">
        <v>980</v>
      </c>
      <c r="B983" s="2" t="str">
        <f>"תיק למחשב נייד MIRACLE NCR-2009 15.6"</f>
        <v>תיק למחשב נייד MIRACLE NCR-2009 15.6</v>
      </c>
      <c r="C983" s="7">
        <v>131.22499999999999</v>
      </c>
      <c r="D983" s="2"/>
    </row>
    <row r="984" spans="1:4" x14ac:dyDescent="0.2">
      <c r="A984" s="2">
        <v>981</v>
      </c>
      <c r="B984" s="2" t="str">
        <f>"מעמד לכונן ממתכת +גלגלים"</f>
        <v>מעמד לכונן ממתכת +גלגלים</v>
      </c>
      <c r="C984" s="7">
        <v>62.445</v>
      </c>
      <c r="D984" s="2"/>
    </row>
    <row r="985" spans="1:4" x14ac:dyDescent="0.2">
      <c r="A985" s="2">
        <v>982</v>
      </c>
      <c r="B985" s="2" t="str">
        <f>"שלט למצגות עם סמן לייזר מובנה LOGITECH R400 2.4"</f>
        <v>שלט למצגות עם סמן לייזר מובנה LOGITECH R400 2.4</v>
      </c>
      <c r="C985" s="7">
        <v>143.89500000000001</v>
      </c>
      <c r="D985" s="2"/>
    </row>
    <row r="986" spans="1:4" x14ac:dyDescent="0.2">
      <c r="A986" s="2">
        <v>983</v>
      </c>
      <c r="B986" s="2" t="str">
        <f>"זיכרון נייד SANDISK USB BLADE Z50 16GB"</f>
        <v>זיכרון נייד SANDISK USB BLADE Z50 16GB</v>
      </c>
      <c r="C986" s="7">
        <v>18.9145</v>
      </c>
      <c r="D986" s="2"/>
    </row>
    <row r="987" spans="1:4" x14ac:dyDescent="0.2">
      <c r="A987" s="2">
        <v>984</v>
      </c>
      <c r="B987" s="2" t="str">
        <f>"מקלדת חוטית דגם USB MICROSOFT 600 ANB-00015"</f>
        <v>מקלדת חוטית דגם USB MICROSOFT 600 ANB-00015</v>
      </c>
      <c r="C987" s="7">
        <v>50.68</v>
      </c>
      <c r="D987" s="2"/>
    </row>
    <row r="988" spans="1:4" x14ac:dyDescent="0.2">
      <c r="A988" s="2">
        <v>985</v>
      </c>
      <c r="B988" s="2" t="str">
        <f>"כבל רשת MSY CAT5E RJ45 באורך 1.5 מטר"</f>
        <v>כבל רשת MSY CAT5E RJ45 באורך 1.5 מטר</v>
      </c>
      <c r="C988" s="7">
        <v>3.1675</v>
      </c>
      <c r="D988" s="2"/>
    </row>
    <row r="989" spans="1:4" x14ac:dyDescent="0.2">
      <c r="A989" s="2">
        <v>986</v>
      </c>
      <c r="B989" s="2" t="str">
        <f>"כבל רשת CAT5E RJ45 מסוכך באורך 3 מטר"</f>
        <v>כבל רשת CAT5E RJ45 מסוכך באורך 3 מטר</v>
      </c>
      <c r="C989" s="7">
        <v>5.2489999999999997</v>
      </c>
      <c r="D989" s="2"/>
    </row>
    <row r="990" spans="1:4" x14ac:dyDescent="0.2">
      <c r="A990" s="2">
        <v>987</v>
      </c>
      <c r="B990" s="2" t="str">
        <f>"נתב אלחוטי TP-LINK TL-WR841N 802.11 B/G/N"</f>
        <v>נתב אלחוטי TP-LINK TL-WR841N 802.11 B/G/N</v>
      </c>
      <c r="C990" s="7">
        <v>82.056350000000009</v>
      </c>
      <c r="D990" s="2"/>
    </row>
    <row r="991" spans="1:4" x14ac:dyDescent="0.2">
      <c r="A991" s="2">
        <v>988</v>
      </c>
      <c r="B991" s="2" t="str">
        <f>"סט מקלדת ועכבר חוטי LOGITECH MK120 USBעברית"</f>
        <v>סט מקלדת ועכבר חוטי LOGITECH MK120 USBעברית</v>
      </c>
      <c r="C991" s="7">
        <v>61.54</v>
      </c>
      <c r="D991" s="2"/>
    </row>
    <row r="992" spans="1:4" x14ac:dyDescent="0.2">
      <c r="A992" s="2">
        <v>989</v>
      </c>
      <c r="B992" s="2" t="str">
        <f>"מיקרוגל דיגי' כסוף 25 ליטר GOLDLINE P90D25EP-H3"</f>
        <v>מיקרוגל דיגי' כסוף 25 ליטר GOLDLINE P90D25EP-H3</v>
      </c>
      <c r="C992" s="7">
        <v>443.45</v>
      </c>
      <c r="D992" s="2"/>
    </row>
    <row r="993" spans="1:4" x14ac:dyDescent="0.2">
      <c r="A993" s="2">
        <v>990</v>
      </c>
      <c r="B993" s="2" t="str">
        <f>"סט רמקולים קטנים וחזקים CREATIVE SBS A60 4W 2.0"</f>
        <v>סט רמקולים קטנים וחזקים CREATIVE SBS A60 4W 2.0</v>
      </c>
      <c r="C993" s="7">
        <v>70.952000000000012</v>
      </c>
      <c r="D993" s="2"/>
    </row>
    <row r="994" spans="1:4" x14ac:dyDescent="0.2">
      <c r="A994" s="2">
        <v>991</v>
      </c>
      <c r="B994" s="2" t="str">
        <f>"תיק צד למחשב נייד MIRACASE NH-1001BL שחור"</f>
        <v>תיק צד למחשב נייד MIRACASE NH-1001BL שחור</v>
      </c>
      <c r="C994" s="7">
        <v>43.44</v>
      </c>
      <c r="D994" s="2"/>
    </row>
    <row r="995" spans="1:4" x14ac:dyDescent="0.2">
      <c r="A995" s="2">
        <v>992</v>
      </c>
      <c r="B995" s="2" t="str">
        <f>"עכבר אלחוטי שחור Logitech Marathon M705"</f>
        <v>עכבר אלחוטי שחור Logitech Marathon M705</v>
      </c>
      <c r="C995" s="7">
        <v>146.61000000000001</v>
      </c>
      <c r="D995" s="2"/>
    </row>
    <row r="996" spans="1:4" x14ac:dyDescent="0.2">
      <c r="A996" s="2">
        <v>993</v>
      </c>
      <c r="B996" s="2" t="str">
        <f>"סט מקלדת ועכבר אלחוטי MICROSOFT 2000"</f>
        <v>סט מקלדת ועכבר אלחוטי MICROSOFT 2000</v>
      </c>
      <c r="C996" s="7">
        <v>152.94499999999999</v>
      </c>
      <c r="D996" s="2"/>
    </row>
    <row r="997" spans="1:4" x14ac:dyDescent="0.2">
      <c r="A997" s="2">
        <v>994</v>
      </c>
      <c r="B997" s="2" t="str">
        <f>"רמקולים USB LOGITECH Z-120 1.2W RMS"</f>
        <v>רמקולים USB LOGITECH Z-120 1.2W RMS</v>
      </c>
      <c r="C997" s="7">
        <v>57.92</v>
      </c>
      <c r="D997" s="2"/>
    </row>
    <row r="998" spans="1:4" x14ac:dyDescent="0.2">
      <c r="A998" s="2">
        <v>995</v>
      </c>
      <c r="B998" s="2" t="str">
        <f>"טלפון שולחני ALCOM עם שיחה מזוהה דגם GCE5933"</f>
        <v>טלפון שולחני ALCOM עם שיחה מזוהה דגם GCE5933</v>
      </c>
      <c r="C998" s="7">
        <v>76.924999999999997</v>
      </c>
      <c r="D998" s="2"/>
    </row>
    <row r="999" spans="1:4" x14ac:dyDescent="0.2">
      <c r="A999" s="2">
        <v>996</v>
      </c>
      <c r="B999" s="2" t="str">
        <f>"זיכרון נייד SANDISK USB BLADE Z50 32GB"</f>
        <v>זיכרון נייד SANDISK USB BLADE Z50 32GB</v>
      </c>
      <c r="C999" s="7">
        <v>37.105000000000004</v>
      </c>
      <c r="D999" s="2"/>
    </row>
    <row r="1000" spans="1:4" x14ac:dyDescent="0.2">
      <c r="A1000" s="2">
        <v>997</v>
      </c>
      <c r="B1000" s="2" t="str">
        <f>"תיק יוקרתי ''12580 MH-1258 BL PURE 15.6"</f>
        <v>תיק יוקרתי ''12580 MH-1258 BL PURE 15.6</v>
      </c>
      <c r="C1000" s="7">
        <v>122.175</v>
      </c>
      <c r="D1000" s="2"/>
    </row>
    <row r="1001" spans="1:4" x14ac:dyDescent="0.2">
      <c r="A1001" s="2">
        <v>998</v>
      </c>
      <c r="B1001" s="2" t="str">
        <f>"עכבר אלחוטי HP למחשב נייח 200 שנתיים אחריות"</f>
        <v>עכבר אלחוטי HP למחשב נייח 200 שנתיים אחריות</v>
      </c>
      <c r="C1001" s="7">
        <v>40.725000000000001</v>
      </c>
      <c r="D1001" s="2"/>
    </row>
    <row r="1002" spans="1:4" x14ac:dyDescent="0.2">
      <c r="A1002" s="2">
        <v>999</v>
      </c>
      <c r="B1002" s="2" t="str">
        <f>"סוללות PHILIPS אלקליין 16 )  AA בבליסטר)"</f>
        <v>סוללות PHILIPS אלקליין 16 )  AA בבליסטר)</v>
      </c>
      <c r="C1002" s="7">
        <v>17.204050000000002</v>
      </c>
      <c r="D1002" s="2"/>
    </row>
    <row r="1003" spans="1:4" x14ac:dyDescent="0.2">
      <c r="A1003" s="2">
        <v>1000</v>
      </c>
      <c r="B1003" s="2" t="str">
        <f>"זיכרון נייד SANDISK BLADE Z50 64GB"</f>
        <v>זיכרון נייד SANDISK BLADE Z50 64GB</v>
      </c>
      <c r="C1003" s="7">
        <v>43.44</v>
      </c>
      <c r="D1003" s="2"/>
    </row>
    <row r="1004" spans="1:4" x14ac:dyDescent="0.2">
      <c r="A1004" s="2">
        <v>1001</v>
      </c>
      <c r="B1004" s="2" t="str">
        <f>"שלט אלחוטי למצגות LOGITECH R700 2.4GH עם מסך תצו"</f>
        <v>שלט אלחוטי למצגות LOGITECH R700 2.4GH עם מסך תצו</v>
      </c>
      <c r="C1004" s="7">
        <v>382.63400000000001</v>
      </c>
      <c r="D1004" s="2"/>
    </row>
    <row r="1005" spans="1:4" x14ac:dyDescent="0.2">
      <c r="A1005" s="2">
        <v>1002</v>
      </c>
      <c r="B1005" s="2" t="str">
        <f>"כונן חיצוני ''S PORTABLE 1TB BLACK USB3 EMEA 2.5"</f>
        <v>כונן חיצוני ''S PORTABLE 1TB BLACK USB3 EMEA 2.5</v>
      </c>
      <c r="C1005" s="7">
        <v>234.39500000000001</v>
      </c>
      <c r="D1005" s="2"/>
    </row>
    <row r="1006" spans="1:4" x14ac:dyDescent="0.2">
      <c r="A1006" s="2">
        <v>1003</v>
      </c>
      <c r="B1006" s="2" t="str">
        <f>"כונן חיצוני WD ELEMENTS PORTABLE 2TB BLACK EMEA"</f>
        <v>כונן חיצוני WD ELEMENTS PORTABLE 2TB BLACK EMEA</v>
      </c>
      <c r="C1006" s="7">
        <v>279.64499999999998</v>
      </c>
      <c r="D1006" s="2"/>
    </row>
    <row r="1007" spans="1:4" x14ac:dyDescent="0.2">
      <c r="A1007" s="2">
        <v>1004</v>
      </c>
      <c r="B1007" s="2" t="str">
        <f>"סט מקלדת ועכבר אלחוטי LOGITECH MK270 2.4GHZעברית"</f>
        <v>סט מקלדת ועכבר אלחוטי LOGITECH MK270 2.4GHZעברית</v>
      </c>
      <c r="C1007" s="7">
        <v>89.594999999999999</v>
      </c>
      <c r="D1007" s="2"/>
    </row>
    <row r="1008" spans="1:4" x14ac:dyDescent="0.2">
      <c r="A1008" s="2">
        <v>1005</v>
      </c>
      <c r="B1008" s="2" t="str">
        <f>"טונר לייזר TN-2310  BROTHER 1.2K 2700/2340/2300"</f>
        <v>טונר לייזר TN-2310  BROTHER 1.2K 2700/2340/2300</v>
      </c>
      <c r="C1008" s="7">
        <v>143.89500000000001</v>
      </c>
      <c r="D1008" s="2"/>
    </row>
    <row r="1009" spans="1:4" x14ac:dyDescent="0.2">
      <c r="A1009" s="2">
        <v>1006</v>
      </c>
      <c r="B1009" s="2" t="str">
        <f>"מדפסת לייזר שחור/לבן עם דופלקס BROTHER HL-L2300D"</f>
        <v>מדפסת לייזר שחור/לבן עם דופלקס BROTHER HL-L2300D</v>
      </c>
      <c r="C1009" s="7">
        <v>289.60000000000002</v>
      </c>
      <c r="D1009" s="2"/>
    </row>
    <row r="1010" spans="1:4" x14ac:dyDescent="0.2">
      <c r="A1010" s="2">
        <v>1007</v>
      </c>
      <c r="B1010" s="2" t="str">
        <f>"זיכרון נייד SANDISK CRUZER BLADE Z50 128GB"</f>
        <v>זיכרון נייד SANDISK CRUZER BLADE Z50 128GB</v>
      </c>
      <c r="C1010" s="7">
        <v>106.79</v>
      </c>
      <c r="D1010" s="2"/>
    </row>
    <row r="1011" spans="1:4" x14ac:dyDescent="0.2">
      <c r="A1011" s="2">
        <v>1008</v>
      </c>
      <c r="B1011" s="2" t="str">
        <f>"כרטיס זיכרון MICRO SDHC 64GB + SD ADAPTER (90MB"</f>
        <v>כרטיס זיכרון MICRO SDHC 64GB + SD ADAPTER (90MB</v>
      </c>
      <c r="C1011" s="7">
        <v>143.89500000000001</v>
      </c>
      <c r="D1011" s="2"/>
    </row>
    <row r="1012" spans="1:4" x14ac:dyDescent="0.2">
      <c r="A1012" s="2">
        <v>1009</v>
      </c>
      <c r="B1012" s="2" t="str">
        <f>"עכבר אלחוטי לנייד LOGITECH M171 2.4GHZ שחור"</f>
        <v>עכבר אלחוטי לנייד LOGITECH M171 2.4GHZ שחור</v>
      </c>
      <c r="C1012" s="7">
        <v>53.395000000000003</v>
      </c>
      <c r="D1012" s="2"/>
    </row>
    <row r="1013" spans="1:4" x14ac:dyDescent="0.2">
      <c r="A1013" s="2">
        <v>1010</v>
      </c>
      <c r="B1013" s="2" t="str">
        <f>"כבל 1 AUX מטר ז/ז 3.5 מ""מ PLUG&amp;PLAY צבע שחור"</f>
        <v>כבל 1 AUX מטר ז/ז 3.5 מ"מ PLUG&amp;PLAY צבע שחור</v>
      </c>
      <c r="C1013" s="7">
        <v>8.9595000000000002</v>
      </c>
      <c r="D1013" s="2"/>
    </row>
    <row r="1014" spans="1:4" x14ac:dyDescent="0.2">
      <c r="A1014" s="2">
        <v>1011</v>
      </c>
      <c r="B1014" s="2" t="str">
        <f>"מטען קיר מהיר ומקורי+כבל SAMSUNG TYPE-C FAST USB"</f>
        <v>מטען קיר מהיר ומקורי+כבל SAMSUNG TYPE-C FAST USB</v>
      </c>
      <c r="C1014" s="7">
        <v>52.49</v>
      </c>
      <c r="D1014" s="2"/>
    </row>
    <row r="1015" spans="1:4" x14ac:dyDescent="0.2">
      <c r="A1015" s="2">
        <v>1012</v>
      </c>
      <c r="B1015" s="2" t="str">
        <f>"מדפסת מדבקות ידנית BROTHER PT-H110 (ללא סוללות)"</f>
        <v>מדפסת מדבקות ידנית BROTHER PT-H110 (ללא סוללות)</v>
      </c>
      <c r="C1015" s="7">
        <v>143.89500000000001</v>
      </c>
      <c r="D1015" s="2"/>
    </row>
    <row r="1016" spans="1:4" x14ac:dyDescent="0.2">
      <c r="A1016" s="2">
        <v>1013</v>
      </c>
      <c r="B1016" s="2" t="str">
        <f>"מחשבון 12DH / DC-20 CASIO"</f>
        <v>מחשבון 12DH / DC-20 CASIO</v>
      </c>
      <c r="C1016" s="7">
        <v>40.634500000000003</v>
      </c>
      <c r="D1016" s="2"/>
    </row>
    <row r="1017" spans="1:4" x14ac:dyDescent="0.2">
      <c r="A1017" s="2">
        <v>1014</v>
      </c>
      <c r="B1017" s="2" t="str">
        <f>"טונר לייזר HP-CB435Aלמדפסת ליזרג'אט P-1005/6מקור"</f>
        <v>טונר לייזר HP-CB435Aלמדפסת ליזרג'אט P-1005/6מקור</v>
      </c>
      <c r="C1017" s="7">
        <v>225.345</v>
      </c>
      <c r="D1017" s="2"/>
    </row>
    <row r="1018" spans="1:4" x14ac:dyDescent="0.2">
      <c r="A1018" s="2">
        <v>1015</v>
      </c>
      <c r="B1018" s="2" t="str">
        <f>"סט מקלדת ועכבר מולטימדיה אלחוטי NE WK618+T91 2.4"</f>
        <v>סט מקלדת ועכבר מולטימדיה אלחוטי NE WK618+T91 2.4</v>
      </c>
      <c r="C1018" s="7">
        <v>67.875</v>
      </c>
      <c r="D1018" s="2"/>
    </row>
    <row r="1019" spans="1:4" x14ac:dyDescent="0.2">
      <c r="A1019" s="2">
        <v>1016</v>
      </c>
      <c r="B1019" s="2" t="str">
        <f>"טונר לייזר TN-2120 BROTHERלמדפסת 7030/7320"</f>
        <v>טונר לייזר TN-2120 BROTHERלמדפסת 7030/7320</v>
      </c>
      <c r="C1019" s="7">
        <v>211.3175</v>
      </c>
      <c r="D1019" s="2"/>
    </row>
    <row r="1020" spans="1:4" x14ac:dyDescent="0.2">
      <c r="A1020" s="2">
        <v>1017</v>
      </c>
      <c r="B1020" s="2" t="str">
        <f>"זוג טונרים לייזר HP-Q2612AD מקורי למדפסת 20/3030"</f>
        <v>זוג טונרים לייזר HP-Q2612AD מקורי למדפסת 20/3030</v>
      </c>
      <c r="C1020" s="7">
        <v>461.55</v>
      </c>
      <c r="D1020" s="2"/>
    </row>
    <row r="1021" spans="1:4" x14ac:dyDescent="0.2">
      <c r="A1021" s="2">
        <v>1018</v>
      </c>
      <c r="B1021" s="2" t="str">
        <f>"טונר תואם 7320/7030 TN-2120 BROTHER"</f>
        <v>טונר תואם 7320/7030 TN-2120 BROTHER</v>
      </c>
      <c r="C1021" s="7">
        <v>58.825000000000003</v>
      </c>
      <c r="D1021" s="2"/>
    </row>
    <row r="1022" spans="1:4" x14ac:dyDescent="0.2">
      <c r="A1022" s="2">
        <v>1019</v>
      </c>
      <c r="B1022" s="2" t="str">
        <f>"טונר 3210/3220 WORKCENTRE XEROX שחור מקורי (1487"</f>
        <v>טונר 3210/3220 WORKCENTRE XEROX שחור מקורי (1487</v>
      </c>
      <c r="C1022" s="7">
        <v>239.82500000000002</v>
      </c>
      <c r="D1022" s="2"/>
    </row>
    <row r="1023" spans="1:4" x14ac:dyDescent="0.2">
      <c r="A1023" s="2">
        <v>1020</v>
      </c>
      <c r="B1023" s="2" t="str">
        <f>"זוג טונרים HP-CB435AF למדפסת ליזרג'אט P-1005/6 מ"</f>
        <v>זוג טונרים HP-CB435AF למדפסת ליזרג'אט P-1005/6 מ</v>
      </c>
      <c r="C1023" s="7">
        <v>401.82</v>
      </c>
      <c r="D1023" s="2"/>
    </row>
    <row r="1024" spans="1:4" x14ac:dyDescent="0.2">
      <c r="A1024" s="2">
        <v>1021</v>
      </c>
      <c r="B1024" s="2" t="str">
        <f>"טונר למדפסת סמסונג NL-3470B עבור מדפסת 0K ND3471"</f>
        <v>טונר למדפסת סמסונג NL-3470B עבור מדפסת 0K ND3471</v>
      </c>
      <c r="C1024" s="7">
        <v>416.3</v>
      </c>
      <c r="D1024" s="2"/>
    </row>
    <row r="1025" spans="1:4" x14ac:dyDescent="0.2">
      <c r="A1025" s="2">
        <v>1022</v>
      </c>
      <c r="B1025" s="2" t="str">
        <f>"כבל רשת MSY CAT5E RJ45 באורך 10 מטר"</f>
        <v>כבל רשת MSY CAT5E RJ45 באורך 10 מטר</v>
      </c>
      <c r="C1025" s="7">
        <v>10.561350000000001</v>
      </c>
      <c r="D1025" s="2"/>
    </row>
    <row r="1026" spans="1:4" x14ac:dyDescent="0.2">
      <c r="A1026" s="2">
        <v>1023</v>
      </c>
      <c r="B1026" s="2" t="str">
        <f>"כבל HDMI ל-HDMI  באורך 3 מטר"</f>
        <v>כבל HDMI ל-HDMI  באורך 3 מטר</v>
      </c>
      <c r="C1026" s="7">
        <v>13.484500000000001</v>
      </c>
      <c r="D1026" s="2"/>
    </row>
    <row r="1027" spans="1:4" x14ac:dyDescent="0.2">
      <c r="A1027" s="2">
        <v>1024</v>
      </c>
      <c r="B1027" s="2" t="str">
        <f>"כבל HDMI ל-HDMI  באורך 5 מטר"</f>
        <v>כבל HDMI ל-HDMI  באורך 5 מטר</v>
      </c>
      <c r="C1027" s="7">
        <v>28.96</v>
      </c>
      <c r="D1027" s="2"/>
    </row>
    <row r="1028" spans="1:4" x14ac:dyDescent="0.2">
      <c r="A1028" s="2">
        <v>1025</v>
      </c>
      <c r="B1028" s="2" t="str">
        <f>"כבל HDMI ל- HDMI  באורך 10 מטר"</f>
        <v>כבל HDMI ל- HDMI  באורך 10 מטר</v>
      </c>
      <c r="C1028" s="7">
        <v>34.299500000000002</v>
      </c>
      <c r="D1028" s="2"/>
    </row>
    <row r="1029" spans="1:4" x14ac:dyDescent="0.2">
      <c r="A1029" s="2">
        <v>1026</v>
      </c>
      <c r="B1029" s="2" t="str">
        <f>"כבל מאריך 3 מטר"</f>
        <v>כבל מאריך 3 מטר</v>
      </c>
      <c r="C1029" s="7">
        <v>13.511649999999999</v>
      </c>
      <c r="D1029" s="2"/>
    </row>
    <row r="1030" spans="1:4" x14ac:dyDescent="0.2">
      <c r="A1030" s="2">
        <v>1027</v>
      </c>
      <c r="B1030" s="2" t="str">
        <f>"כבל מאריך 7 מטר"</f>
        <v>כבל מאריך 7 מטר</v>
      </c>
      <c r="C1030" s="7">
        <v>26.697500000000002</v>
      </c>
      <c r="D1030" s="2"/>
    </row>
    <row r="1031" spans="1:4" x14ac:dyDescent="0.2">
      <c r="A1031" s="2">
        <v>1028</v>
      </c>
      <c r="B1031" s="2" t="str">
        <f>"כבל מאריך 1 מטר רב שקע + 6 מפסק מואר"</f>
        <v>כבל מאריך 1 מטר רב שקע + 6 מפסק מואר</v>
      </c>
      <c r="C1031" s="7">
        <v>19.339850000000002</v>
      </c>
      <c r="D1031" s="2"/>
    </row>
    <row r="1032" spans="1:4" x14ac:dyDescent="0.2">
      <c r="A1032" s="2">
        <v>1029</v>
      </c>
      <c r="B1032" s="2" t="str">
        <f>"מפצל חשמל 1 ל 2 ללא אריזה"</f>
        <v>מפצל חשמל 1 ל 2 ללא אריזה</v>
      </c>
      <c r="C1032" s="7">
        <v>5.7015000000000002</v>
      </c>
      <c r="D1032" s="2"/>
    </row>
    <row r="1033" spans="1:4" x14ac:dyDescent="0.2">
      <c r="A1033" s="2">
        <v>1030</v>
      </c>
      <c r="B1033" s="2" t="str">
        <f>"מפצל חשמל 1 ל 3 ארוז"</f>
        <v>מפצל חשמל 1 ל 3 ארוז</v>
      </c>
      <c r="C1033" s="7">
        <v>6.6064999999999996</v>
      </c>
      <c r="D1033" s="2"/>
    </row>
    <row r="1034" spans="1:4" x14ac:dyDescent="0.2">
      <c r="A1034" s="2">
        <v>1031</v>
      </c>
      <c r="B1034" s="2" t="str">
        <f>"סורק שולחני אישי AV121 AVISION"</f>
        <v>סורק שולחני אישי AV121 AVISION</v>
      </c>
      <c r="C1034" s="7">
        <v>1013.6</v>
      </c>
      <c r="D1034" s="2"/>
    </row>
    <row r="1035" spans="1:4" x14ac:dyDescent="0.2">
      <c r="A1035" s="2">
        <v>1032</v>
      </c>
      <c r="B1035" s="2" t="str">
        <f>"מקלדת ארגונומי MICROSOFT 4000 דגם URAL ERGONOMIC"</f>
        <v>מקלדת ארגונומי MICROSOFT 4000 דגם URAL ERGONOMIC</v>
      </c>
      <c r="C1035" s="7">
        <v>167.42500000000001</v>
      </c>
      <c r="D1035" s="2"/>
    </row>
    <row r="1036" spans="1:4" x14ac:dyDescent="0.2">
      <c r="A1036" s="2">
        <v>1033</v>
      </c>
      <c r="B1036" s="2" t="str">
        <f>"טונר MLT-D205L SAMSUNG ל 0 SCX-4833/5637/5737 5K"</f>
        <v>טונר MLT-D205L SAMSUNG ל 0 SCX-4833/5637/5737 5K</v>
      </c>
      <c r="C1036" s="7">
        <v>257.92500000000001</v>
      </c>
      <c r="D1036" s="2"/>
    </row>
    <row r="1037" spans="1:4" x14ac:dyDescent="0.2">
      <c r="A1037" s="2">
        <v>1034</v>
      </c>
      <c r="B1037" s="2" t="str">
        <f>"קומקום חשמלי נשלף גימור נירוסטה 1.7 ליטר"</f>
        <v>קומקום חשמלי נשלף גימור נירוסטה 1.7 ליטר</v>
      </c>
      <c r="C1037" s="7">
        <v>62.445</v>
      </c>
      <c r="D1037" s="2"/>
    </row>
    <row r="1038" spans="1:4" x14ac:dyDescent="0.2">
      <c r="A1038" s="2">
        <v>1035</v>
      </c>
      <c r="B1038" s="2" t="str">
        <f>"מיקרוגל מכני לבן/כסוף 20 ליטר"</f>
        <v>מיקרוגל מכני לבן/כסוף 20 ליטר</v>
      </c>
      <c r="C1038" s="7">
        <v>209.97810000000001</v>
      </c>
      <c r="D1038" s="2"/>
    </row>
    <row r="1039" spans="1:4" x14ac:dyDescent="0.2">
      <c r="A1039" s="2">
        <v>1036</v>
      </c>
      <c r="B1039" s="2" t="str">
        <f>"טונר 3210/3220 WORKCENTRE XEROX שחור מקורי (1485"</f>
        <v>טונר 3210/3220 WORKCENTRE XEROX שחור מקורי (1485</v>
      </c>
      <c r="C1039" s="7">
        <v>217.20000000000002</v>
      </c>
      <c r="D1039" s="2"/>
    </row>
    <row r="1040" spans="1:4" x14ac:dyDescent="0.2">
      <c r="A1040" s="2">
        <v>1037</v>
      </c>
      <c r="B1040" s="2" t="str">
        <f>"מקרר משרדי 50 ליטר"</f>
        <v>מקרר משרדי 50 ליטר</v>
      </c>
      <c r="C1040" s="7">
        <v>416.3</v>
      </c>
      <c r="D1040" s="2"/>
    </row>
    <row r="1041" spans="1:4" x14ac:dyDescent="0.2">
      <c r="A1041" s="2">
        <v>1038</v>
      </c>
      <c r="B1041" s="2" t="str">
        <f>"טונר תואם NL-3470B SAMSUNG למדפסת ND3471 עם ציפ"</f>
        <v>טונר תואם NL-3470B SAMSUNG למדפסת ND3471 עם ציפ</v>
      </c>
      <c r="C1041" s="7">
        <v>125.795</v>
      </c>
      <c r="D1041" s="2"/>
    </row>
    <row r="1042" spans="1:4" x14ac:dyDescent="0.2">
      <c r="A1042" s="2">
        <v>1039</v>
      </c>
      <c r="B1042" s="2" t="str">
        <f>"עכבר אופטי חוטי LOGITECE OPTICAL OEM B-110/100 U"</f>
        <v>עכבר אופטי חוטי LOGITECE OPTICAL OEM B-110/100 U</v>
      </c>
      <c r="C1042" s="7">
        <v>30.616150000000001</v>
      </c>
      <c r="D1042" s="2"/>
    </row>
    <row r="1043" spans="1:4" x14ac:dyDescent="0.2">
      <c r="A1043" s="2">
        <v>1040</v>
      </c>
      <c r="B1043" s="2" t="str">
        <f>"קטלן יתושים בהספק 2*8W"</f>
        <v>קטלן יתושים בהספק 2*8W</v>
      </c>
      <c r="C1043" s="7">
        <v>88.69</v>
      </c>
      <c r="D1043" s="2"/>
    </row>
    <row r="1044" spans="1:4" x14ac:dyDescent="0.2">
      <c r="A1044" s="2">
        <v>1041</v>
      </c>
      <c r="B1044" s="2" t="str">
        <f>"טונר לייזר HP-CF210A 131A  שחור למדפסת צבע O 200"</f>
        <v>טונר לייזר HP-CF210A 131A  שחור למדפסת צבע O 200</v>
      </c>
      <c r="C1044" s="7">
        <v>218.10500000000002</v>
      </c>
      <c r="D1044" s="2"/>
    </row>
    <row r="1045" spans="1:4" x14ac:dyDescent="0.2">
      <c r="A1045" s="2">
        <v>1042</v>
      </c>
      <c r="B1045" s="2" t="str">
        <f>"טונר לייזר HP-CF210X 131Xשחור למדפסת צבע M276N 0"</f>
        <v>טונר לייזר HP-CF210X 131Xשחור למדפסת צבע M276N 0</v>
      </c>
      <c r="C1045" s="7">
        <v>294.125</v>
      </c>
      <c r="D1045" s="2"/>
    </row>
    <row r="1046" spans="1:4" x14ac:dyDescent="0.2">
      <c r="A1046" s="2">
        <v>1043</v>
      </c>
      <c r="B1046" s="2" t="str">
        <f>"טונר לייזר HP-CF213A 131Aאדום למדפסת צבע M276N 0"</f>
        <v>טונר לייזר HP-CF213A 131Aאדום למדפסת צבע M276N 0</v>
      </c>
      <c r="C1046" s="7">
        <v>294.125</v>
      </c>
      <c r="D1046" s="2"/>
    </row>
    <row r="1047" spans="1:4" x14ac:dyDescent="0.2">
      <c r="A1047" s="2">
        <v>1044</v>
      </c>
      <c r="B1047" s="2" t="str">
        <f>"טונר לייזר HP-CF212A 131Aצהוב למדפסת צבע M276N 0"</f>
        <v>טונר לייזר HP-CF212A 131Aצהוב למדפסת צבע M276N 0</v>
      </c>
      <c r="C1047" s="7">
        <v>294.125</v>
      </c>
      <c r="D1047" s="2"/>
    </row>
    <row r="1048" spans="1:4" x14ac:dyDescent="0.2">
      <c r="A1048" s="2">
        <v>1045</v>
      </c>
      <c r="B1048" s="2" t="str">
        <f>"טונר לייזר HP-CF211A 131Aכחול למדפסת צבע M276N 0"</f>
        <v>טונר לייזר HP-CF211A 131Aכחול למדפסת צבע M276N 0</v>
      </c>
      <c r="C1048" s="7">
        <v>294.125</v>
      </c>
      <c r="D1048" s="2"/>
    </row>
    <row r="1049" spans="1:4" x14ac:dyDescent="0.2">
      <c r="A1049" s="2">
        <v>1046</v>
      </c>
      <c r="B1049" s="2" t="str">
        <f>"מיקרוגל מכני 25 ליטר כסוף GOLD LINE  P90D25P-C6"</f>
        <v>מיקרוגל מכני 25 ליטר כסוף GOLD LINE  P90D25P-C6</v>
      </c>
      <c r="C1049" s="7">
        <v>262.41379999999998</v>
      </c>
      <c r="D1049" s="2"/>
    </row>
    <row r="1050" spans="1:4" x14ac:dyDescent="0.2">
      <c r="A1050" s="2">
        <v>1047</v>
      </c>
      <c r="B1050" s="2" t="str">
        <f>"אוזניה לטלפון פנסוניק עם דיבורית SONIC RP-TCA430"</f>
        <v>אוזניה לטלפון פנסוניק עם דיבורית SONIC RP-TCA430</v>
      </c>
      <c r="C1050" s="7">
        <v>85.975000000000009</v>
      </c>
      <c r="D1050" s="2"/>
    </row>
    <row r="1051" spans="1:4" x14ac:dyDescent="0.2">
      <c r="A1051" s="2">
        <v>1048</v>
      </c>
      <c r="B1051" s="2" t="str">
        <f>"מדפסת לייזר אלחוטית ) 58A HP LASERJET PRO P1102W"</f>
        <v>מדפסת לייזר אלחוטית ) 58A HP LASERJET PRO P1102W</v>
      </c>
      <c r="C1051" s="7">
        <v>523.995</v>
      </c>
      <c r="D1051" s="2"/>
    </row>
    <row r="1052" spans="1:4" x14ac:dyDescent="0.2">
      <c r="A1052" s="2">
        <v>1049</v>
      </c>
      <c r="B1052" s="2" t="str">
        <f>"טלפון שולחני עם צג שיחה מזוהה PANASONIC KX-TS880"</f>
        <v>טלפון שולחני עם צג שיחה מזוהה PANASONIC KX-TS880</v>
      </c>
      <c r="C1052" s="7">
        <v>216.29500000000002</v>
      </c>
      <c r="D1052" s="2"/>
    </row>
    <row r="1053" spans="1:4" x14ac:dyDescent="0.2">
      <c r="A1053" s="2">
        <v>1050</v>
      </c>
      <c r="B1053" s="2" t="str">
        <f>"טונר MLT-D203L SAMSUNG ל 3320-M3820-3370-3870 5K"</f>
        <v>טונר MLT-D203L SAMSUNG ל 3320-M3820-3370-3870 5K</v>
      </c>
      <c r="C1053" s="7">
        <v>266.97500000000002</v>
      </c>
      <c r="D1053" s="2"/>
    </row>
    <row r="1054" spans="1:4" x14ac:dyDescent="0.2">
      <c r="A1054" s="2">
        <v>1051</v>
      </c>
      <c r="B1054" s="2" t="str">
        <f>"סט אלחוטי ארגונומי  MICROSOFT L5V00014"</f>
        <v>סט אלחוטי ארגונומי  MICROSOFT L5V00014</v>
      </c>
      <c r="C1054" s="7">
        <v>289.60000000000002</v>
      </c>
      <c r="D1054" s="2"/>
    </row>
    <row r="1055" spans="1:4" x14ac:dyDescent="0.2">
      <c r="A1055" s="2">
        <v>1052</v>
      </c>
      <c r="B1055" s="2" t="str">
        <f>"טונר תואם MLT-D203L SAMSUNG לעד SL-M3320-M3820-3"</f>
        <v>טונר תואם MLT-D203L SAMSUNG לעד SL-M3320-M3820-3</v>
      </c>
      <c r="C1055" s="7">
        <v>143.89500000000001</v>
      </c>
      <c r="D1055" s="2"/>
    </row>
    <row r="1056" spans="1:4" x14ac:dyDescent="0.2">
      <c r="A1056" s="2">
        <v>1053</v>
      </c>
      <c r="B1056" s="2" t="str">
        <f>"מדפסת מדבקות משרדית מקצועית BROTHER PT-P700"</f>
        <v>מדפסת מדבקות משרדית מקצועית BROTHER PT-P700</v>
      </c>
      <c r="C1056" s="7">
        <v>298.65000000000003</v>
      </c>
      <c r="D1056" s="2"/>
    </row>
    <row r="1057" spans="1:4" x14ac:dyDescent="0.2">
      <c r="A1057" s="2">
        <v>1054</v>
      </c>
      <c r="B1057" s="2" t="str">
        <f>"מסך חצובה (תלת רגל)203*203  ס""מ -3  חודשי אחריות"</f>
        <v>מסך חצובה (תלת רגל)203*203  ס"מ -3  חודשי אחריות</v>
      </c>
      <c r="C1057" s="7">
        <v>361.09500000000003</v>
      </c>
      <c r="D1057" s="2"/>
    </row>
    <row r="1058" spans="1:4" x14ac:dyDescent="0.2">
      <c r="A1058" s="2">
        <v>1055</v>
      </c>
      <c r="B1058" s="2" t="str">
        <f>"טונר MLT-D205E SAMSUNG ל L3710 SCX-5637/5737 10K"</f>
        <v>טונר MLT-D205E SAMSUNG ל L3710 SCX-5637/5737 10K</v>
      </c>
      <c r="C1058" s="7">
        <v>398.2</v>
      </c>
      <c r="D1058" s="2"/>
    </row>
    <row r="1059" spans="1:4" x14ac:dyDescent="0.2">
      <c r="A1059" s="2">
        <v>1056</v>
      </c>
      <c r="B1059" s="2" t="str">
        <f>"טונר לייזר (HP-CF380A (312A שחור למדפסת LEASERJE"</f>
        <v>טונר לייזר (HP-CF380A (312A שחור למדפסת LEASERJE</v>
      </c>
      <c r="C1059" s="7">
        <v>294.125</v>
      </c>
      <c r="D1059" s="2"/>
    </row>
    <row r="1060" spans="1:4" x14ac:dyDescent="0.2">
      <c r="A1060" s="2">
        <v>1057</v>
      </c>
      <c r="B1060" s="2" t="str">
        <f>"טונר לייזר (HP-CF380X (312X שחור למדפסת LEASERJE"</f>
        <v>טונר לייזר (HP-CF380X (312X שחור למדפסת LEASERJE</v>
      </c>
      <c r="C1060" s="7">
        <v>371.05</v>
      </c>
      <c r="D1060" s="2"/>
    </row>
    <row r="1061" spans="1:4" x14ac:dyDescent="0.2">
      <c r="A1061" s="2">
        <v>1058</v>
      </c>
      <c r="B1061" s="2" t="str">
        <f>"טונר לייזר (HP-CF381A (312A כחול למדפסת LEASERJE"</f>
        <v>טונר לייזר (HP-CF381A (312A כחול למדפסת LEASERJE</v>
      </c>
      <c r="C1061" s="7">
        <v>388.245</v>
      </c>
      <c r="D1061" s="2"/>
    </row>
    <row r="1062" spans="1:4" x14ac:dyDescent="0.2">
      <c r="A1062" s="2">
        <v>1059</v>
      </c>
      <c r="B1062" s="2" t="str">
        <f>"טונר לייזר (HP-CF382A (312A צהוב למדפסת LEASERJE"</f>
        <v>טונר לייזר (HP-CF382A (312A צהוב למדפסת LEASERJE</v>
      </c>
      <c r="C1062" s="7">
        <v>388.245</v>
      </c>
      <c r="D1062" s="2"/>
    </row>
    <row r="1063" spans="1:4" x14ac:dyDescent="0.2">
      <c r="A1063" s="2">
        <v>1060</v>
      </c>
      <c r="B1063" s="2" t="str">
        <f>"טונר לייזר (HP-CF383A (312A אדום למדפסת LEASERJE"</f>
        <v>טונר לייזר (HP-CF383A (312A אדום למדפסת LEASERJE</v>
      </c>
      <c r="C1063" s="7">
        <v>388.245</v>
      </c>
      <c r="D1063" s="2"/>
    </row>
    <row r="1064" spans="1:4" x14ac:dyDescent="0.2">
      <c r="A1064" s="2">
        <v>1061</v>
      </c>
      <c r="B1064" s="2" t="str">
        <f>"מאוורר טורבו הוריקן ""אקסלוסיב"" כסוף דגם TL-92ETS"</f>
        <v>מאוורר טורבו הוריקן "אקסלוסיב" כסוף דגם TL-92ETS</v>
      </c>
      <c r="C1064" s="7">
        <v>316.75</v>
      </c>
      <c r="D1064" s="2"/>
    </row>
    <row r="1065" spans="1:4" x14ac:dyDescent="0.2">
      <c r="A1065" s="2">
        <v>1062</v>
      </c>
      <c r="B1065" s="2" t="str">
        <f>"מדפסת לייזר משולבת אלחוטית MFC-L2700DW BROTHER"</f>
        <v>מדפסת לייזר משולבת אלחוטית MFC-L2700DW BROTHER</v>
      </c>
      <c r="C1065" s="7">
        <v>632.59500000000003</v>
      </c>
      <c r="D1065" s="2"/>
    </row>
    <row r="1066" spans="1:4" x14ac:dyDescent="0.2">
      <c r="A1066" s="2">
        <v>1063</v>
      </c>
      <c r="B1066" s="2" t="str">
        <f>"טונר מקורי 60F5H00 10K LEXMARK למדפסת MX31"</f>
        <v>טונר מקורי 60F5H00 10K LEXMARK למדפסת MX31</v>
      </c>
      <c r="C1066" s="7">
        <v>438.92500000000001</v>
      </c>
      <c r="D1066" s="2"/>
    </row>
    <row r="1067" spans="1:4" x14ac:dyDescent="0.2">
      <c r="A1067" s="2">
        <v>1064</v>
      </c>
      <c r="B1067" s="2" t="str">
        <f>"שלט אוניברסלי למזגן"</f>
        <v>שלט אוניברסלי למזגן</v>
      </c>
      <c r="C1067" s="7">
        <v>43.44</v>
      </c>
      <c r="D1067" s="2"/>
    </row>
    <row r="1068" spans="1:4" x14ac:dyDescent="0.2">
      <c r="A1068" s="2">
        <v>1065</v>
      </c>
      <c r="B1068" s="2" t="str">
        <f>"טונר לייזר תואם TN-2320 2.6K BROTHER L2700"</f>
        <v>טונר לייזר תואם TN-2320 2.6K BROTHER L2700</v>
      </c>
      <c r="C1068" s="7">
        <v>53.395000000000003</v>
      </c>
      <c r="D1068" s="2"/>
    </row>
    <row r="1069" spans="1:4" x14ac:dyDescent="0.2">
      <c r="A1069" s="2">
        <v>1066</v>
      </c>
      <c r="B1069" s="2" t="str">
        <f>"סורק נייד אלחוטי עם מסך מגע BROTHER ADS1600W אפש"</f>
        <v>סורק נייד אלחוטי עם מסך מגע BROTHER ADS1600W אפש</v>
      </c>
      <c r="C1069" s="7">
        <v>1121.2950000000001</v>
      </c>
      <c r="D1069" s="2"/>
    </row>
    <row r="1070" spans="1:4" x14ac:dyDescent="0.2">
      <c r="A1070" s="2">
        <v>1067</v>
      </c>
      <c r="B1070" s="2" t="str">
        <f>"עכבר אלחוטי ארגונומי למחשב נייד NE RF-107 2.4GHZ"</f>
        <v>עכבר אלחוטי ארגונומי למחשב נייד NE RF-107 2.4GHZ</v>
      </c>
      <c r="C1070" s="7">
        <v>27.0595</v>
      </c>
      <c r="D1070" s="2"/>
    </row>
    <row r="1071" spans="1:4" x14ac:dyDescent="0.2">
      <c r="A1071" s="2">
        <v>1068</v>
      </c>
      <c r="B1071" s="2" t="str">
        <f>"מיקרוגל דיגיטלי 20 ליטר כסוף GOLD LINE P80D20EL"</f>
        <v>מיקרוגל דיגיטלי 20 ליטר כסוף GOLD LINE P80D20EL</v>
      </c>
      <c r="C1071" s="7">
        <v>230.77500000000001</v>
      </c>
      <c r="D1071" s="2"/>
    </row>
    <row r="1072" spans="1:4" x14ac:dyDescent="0.2">
      <c r="A1072" s="2">
        <v>1069</v>
      </c>
      <c r="B1072" s="2" t="str">
        <f>"עכבר אלחוטי MICROSOFT WIRELESS MOBILE MOUSE 1850"</f>
        <v>עכבר אלחוטי MICROSOFT WIRELESS MOBILE MOUSE 1850</v>
      </c>
      <c r="C1072" s="7">
        <v>44.344999999999999</v>
      </c>
      <c r="D1072" s="2"/>
    </row>
    <row r="1073" spans="1:4" x14ac:dyDescent="0.2">
      <c r="A1073" s="2">
        <v>1070</v>
      </c>
      <c r="B1073" s="2" t="str">
        <f>"כבל מאריך בגלגלת 25 מטר עם 4 שקעים"</f>
        <v>כבל מאריך בגלגלת 25 מטר עם 4 שקעים</v>
      </c>
      <c r="C1073" s="7">
        <v>124.89</v>
      </c>
      <c r="D1073" s="2"/>
    </row>
    <row r="1074" spans="1:4" x14ac:dyDescent="0.2">
      <c r="A1074" s="2">
        <v>1071</v>
      </c>
      <c r="B1074" s="2" t="str">
        <f>"כבל מאריך בגלגלת 50 מטר עם 4 שקעים"</f>
        <v>כבל מאריך בגלגלת 50 מטר עם 4 שקעים</v>
      </c>
      <c r="C1074" s="7">
        <v>199.1</v>
      </c>
      <c r="D1074" s="2"/>
    </row>
    <row r="1075" spans="1:4" x14ac:dyDescent="0.2">
      <c r="A1075" s="2">
        <v>1072</v>
      </c>
      <c r="B1075" s="2" t="str">
        <f>"מדפסת לייזר רשת שחור/לבן XEROX PHASER 3020 A4 שנ"</f>
        <v>מדפסת לייזר רשת שחור/לבן XEROX PHASER 3020 A4 שנ</v>
      </c>
      <c r="C1075" s="7">
        <v>333.94499999999999</v>
      </c>
      <c r="D1075" s="2"/>
    </row>
    <row r="1076" spans="1:4" x14ac:dyDescent="0.2">
      <c r="A1076" s="2">
        <v>1073</v>
      </c>
      <c r="B1076" s="2" t="str">
        <f>"עכבר אופטי אלחוטי ארגונומי ימין ושמאל 2.4GHZ USB"</f>
        <v>עכבר אופטי אלחוטי ארגונומי ימין ושמאל 2.4GHZ USB</v>
      </c>
      <c r="C1076" s="7">
        <v>26.245000000000001</v>
      </c>
      <c r="D1076" s="2"/>
    </row>
    <row r="1077" spans="1:4" x14ac:dyDescent="0.2">
      <c r="A1077" s="2">
        <v>1074</v>
      </c>
      <c r="B1077" s="2" t="str">
        <f>"מסך הקרנה חשמלי 203*203 ס""מ כולל שלט מתנה"</f>
        <v>מסך הקרנה חשמלי 203*203 ס"מ כולל שלט מתנה</v>
      </c>
      <c r="C1077" s="7">
        <v>632.59500000000003</v>
      </c>
      <c r="D1077" s="2"/>
    </row>
    <row r="1078" spans="1:4" x14ac:dyDescent="0.2">
      <c r="A1078" s="2">
        <v>1075</v>
      </c>
      <c r="B1078" s="2" t="str">
        <f>"מקרר משרדי אלקטרה לבן 91 ליטר דגם DEFROST EL6130"</f>
        <v>מקרר משרדי אלקטרה לבן 91 ליטר דגם DEFROST EL6130</v>
      </c>
      <c r="C1078" s="7">
        <v>561.1</v>
      </c>
      <c r="D1078" s="2"/>
    </row>
    <row r="1079" spans="1:4" x14ac:dyDescent="0.2">
      <c r="A1079" s="2">
        <v>1076</v>
      </c>
      <c r="B1079" s="2" t="str">
        <f>"סט מקלדת ועכבר אלחוטי 00010 MICROSOFT 850 2.4GHZ"</f>
        <v>סט מקלדת ועכבר אלחוטי 00010 MICROSOFT 850 2.4GHZ</v>
      </c>
      <c r="C1079" s="7">
        <v>99.55</v>
      </c>
      <c r="D1079" s="2"/>
    </row>
    <row r="1080" spans="1:4" x14ac:dyDescent="0.2">
      <c r="A1080" s="2">
        <v>1077</v>
      </c>
      <c r="B1080" s="2" t="str">
        <f>"מקרר משרדי לבן דגם JETPOINT GRS1100 לתת במקום פר"</f>
        <v>מקרר משרדי לבן דגם JETPOINT GRS1100 לתת במקום פר</v>
      </c>
      <c r="C1080" s="7">
        <v>533.95000000000005</v>
      </c>
      <c r="D1080" s="2"/>
    </row>
    <row r="1081" spans="1:4" x14ac:dyDescent="0.2">
      <c r="A1081" s="2">
        <v>1078</v>
      </c>
      <c r="B1081" s="2" t="str">
        <f>"עכבר אופטי אלחוטי שחור ILVERLINE RF-67BLA 2.4GHZ"</f>
        <v>עכבר אופטי אלחוטי שחור ILVERLINE RF-67BLA 2.4GHZ</v>
      </c>
      <c r="C1081" s="7">
        <v>25.34</v>
      </c>
      <c r="D1081" s="2"/>
    </row>
    <row r="1082" spans="1:4" x14ac:dyDescent="0.2">
      <c r="A1082" s="2">
        <v>1079</v>
      </c>
      <c r="B1082" s="2" t="str">
        <f>"זוג רמקולים עגולים למחשב DOQO 2.0 USB"</f>
        <v>זוג רמקולים עגולים למחשב DOQO 2.0 USB</v>
      </c>
      <c r="C1082" s="7">
        <v>19.91</v>
      </c>
      <c r="D1082" s="2"/>
    </row>
    <row r="1083" spans="1:4" x14ac:dyDescent="0.2">
      <c r="A1083" s="2">
        <v>1080</v>
      </c>
      <c r="B1083" s="2" t="str">
        <f>"סט מקלדת ועכבר אלחוטי LOGITECH MK235 2.4GHZ USB"</f>
        <v>סט מקלדת ועכבר אלחוטי LOGITECH MK235 2.4GHZ USB</v>
      </c>
      <c r="C1083" s="7">
        <v>89.594999999999999</v>
      </c>
      <c r="D1083" s="2"/>
    </row>
    <row r="1084" spans="1:4" x14ac:dyDescent="0.2">
      <c r="A1084" s="2">
        <v>1081</v>
      </c>
      <c r="B1084" s="2" t="str">
        <f>"עכבר אופטי אלחוטי SILVERLINE RF-317B 2.4GHZ"</f>
        <v>עכבר אופטי אלחוטי SILVERLINE RF-317B 2.4GHZ</v>
      </c>
      <c r="C1084" s="7">
        <v>25.34</v>
      </c>
      <c r="D1084" s="2"/>
    </row>
    <row r="1085" spans="1:4" x14ac:dyDescent="0.2">
      <c r="A1085" s="2">
        <v>1082</v>
      </c>
      <c r="B1085" s="2" t="str">
        <f>"מסך טלוויזיה ''INNOVA LED HD MC405FHD 40"</f>
        <v>מסך טלוויזיה ''INNOVA LED HD MC405FHD 40</v>
      </c>
      <c r="C1085" s="7">
        <v>1076.95</v>
      </c>
      <c r="D1085" s="2"/>
    </row>
    <row r="1086" spans="1:4" x14ac:dyDescent="0.2">
      <c r="A1086" s="2">
        <v>1083</v>
      </c>
      <c r="B1086" s="2" t="str">
        <f>"זרוע כפולה למסך מחשב BARKAN E642"</f>
        <v>זרוע כפולה למסך מחשב BARKAN E642</v>
      </c>
      <c r="C1086" s="7">
        <v>316.75</v>
      </c>
      <c r="D1086" s="2"/>
    </row>
    <row r="1087" spans="1:4" x14ac:dyDescent="0.2">
      <c r="A1087" s="2">
        <v>1084</v>
      </c>
      <c r="B1087" s="2" t="str">
        <f>"אוזניות &amp; מיקרופון למוקד FREEMATE ER-09B"</f>
        <v>אוזניות &amp; מיקרופון למוקד FREEMATE ER-09B</v>
      </c>
      <c r="C1087" s="7">
        <v>226.25</v>
      </c>
      <c r="D1087" s="2"/>
    </row>
    <row r="1088" spans="1:4" x14ac:dyDescent="0.2">
      <c r="A1088" s="2">
        <v>1085</v>
      </c>
      <c r="B1088" s="2" t="str">
        <f>"מיחם נירוסטה 60 כוסות"</f>
        <v>מיחם נירוסטה 60 כוסות</v>
      </c>
      <c r="C1088" s="7">
        <v>174.75550000000001</v>
      </c>
      <c r="D1088" s="2"/>
    </row>
    <row r="1089" spans="1:4" x14ac:dyDescent="0.2">
      <c r="A1089" s="2">
        <v>1086</v>
      </c>
      <c r="B1089" s="2" t="str">
        <f>"טונר תואם MLT-D205L SAMSUNG ל ML3310/3710 SCX-48"</f>
        <v>טונר תואם MLT-D205L SAMSUNG ל ML3310/3710 SCX-48</v>
      </c>
      <c r="C1089" s="7">
        <v>72.400000000000006</v>
      </c>
      <c r="D1089" s="2"/>
    </row>
    <row r="1090" spans="1:4" x14ac:dyDescent="0.2">
      <c r="A1090" s="2">
        <v>1087</v>
      </c>
      <c r="B1090" s="2" t="str">
        <f>"סט 8 מגירות קווטרו ליין אפור בהיר"</f>
        <v>סט 8 מגירות קווטרו ליין אפור בהיר</v>
      </c>
      <c r="C1090" s="7">
        <v>176.47499999999999</v>
      </c>
      <c r="D1090" s="2"/>
    </row>
    <row r="1091" spans="1:4" x14ac:dyDescent="0.2">
      <c r="A1091" s="2">
        <v>1088</v>
      </c>
      <c r="B1091" s="2" t="str">
        <f>"סט מגירות משרדית40 חוליות"</f>
        <v>סט מגירות משרדית40 חוליות</v>
      </c>
      <c r="C1091" s="7">
        <v>261.54500000000002</v>
      </c>
      <c r="D1091" s="2"/>
    </row>
    <row r="1092" spans="1:4" x14ac:dyDescent="0.2">
      <c r="A1092" s="2">
        <v>1089</v>
      </c>
      <c r="B1092" s="2" t="str">
        <f>"סט 4 מגירות מישרדיות ( א-33 ר-33  ג-( 42"</f>
        <v>סט 4 מגירות מישרדיות ( א-33 ר-33  ג-( 42</v>
      </c>
      <c r="C1092" s="7">
        <v>114.82639999999999</v>
      </c>
      <c r="D1092" s="2"/>
    </row>
    <row r="1093" spans="1:4" x14ac:dyDescent="0.2">
      <c r="A1093" s="2">
        <v>1090</v>
      </c>
      <c r="B1093" s="2" t="str">
        <f>"סט 8 מגירות משרדיות ( א-33.5 ר- 32.5 ג-(42"</f>
        <v>סט 8 מגירות משרדיות ( א-33.5 ר- 32.5 ג-(42</v>
      </c>
      <c r="C1093" s="7">
        <v>114.82639999999999</v>
      </c>
      <c r="D1093" s="2"/>
    </row>
    <row r="1094" spans="1:4" x14ac:dyDescent="0.2">
      <c r="A1094" s="2">
        <v>1091</v>
      </c>
      <c r="B1094" s="2" t="str">
        <f>"כסא משרד- מגי'ק עם ידיות מתכווננות ריפוד בד שחור"</f>
        <v>כסא משרד- מגי'ק עם ידיות מתכווננות ריפוד בד שחור</v>
      </c>
      <c r="C1094" s="7">
        <v>429.875</v>
      </c>
      <c r="D1094" s="2"/>
    </row>
    <row r="1095" spans="1:4" x14ac:dyDescent="0.2">
      <c r="A1095" s="2">
        <v>1092</v>
      </c>
      <c r="B1095" s="2" t="str">
        <f>"כסא מזכירה לוטוס גב גבוה ידיות מתכווננות שחור"</f>
        <v>כסא מזכירה לוטוס גב גבוה ידיות מתכווננות שחור</v>
      </c>
      <c r="C1095" s="7">
        <v>312.22500000000002</v>
      </c>
      <c r="D1095" s="2"/>
    </row>
    <row r="1096" spans="1:4" x14ac:dyDescent="0.2">
      <c r="A1096" s="2">
        <v>1093</v>
      </c>
      <c r="B1096" s="2" t="str">
        <f>"כסא ניהול - סאאב ניקל  צבע שחור"</f>
        <v>כסא ניהול - סאאב ניקל  צבע שחור</v>
      </c>
      <c r="C1096" s="7">
        <v>651.6</v>
      </c>
      <c r="D1096" s="2"/>
    </row>
    <row r="1097" spans="1:4" x14ac:dyDescent="0.2">
      <c r="A1097" s="2">
        <v>1094</v>
      </c>
      <c r="B1097" s="2" t="str">
        <f>"כסא בלאק +מנגנון 2 ידיות מתכווננות ריפוד בד שחור"</f>
        <v>כסא בלאק +מנגנון 2 ידיות מתכווננות ריפוד בד שחור</v>
      </c>
      <c r="C1097" s="7">
        <v>565.625</v>
      </c>
      <c r="D1097" s="2"/>
    </row>
    <row r="1098" spans="1:4" x14ac:dyDescent="0.2">
      <c r="A1098" s="2">
        <v>1095</v>
      </c>
      <c r="B1098" s="2" t="str">
        <f>"כסא לשם ד""ר גב - שחור"</f>
        <v>כסא לשם ד"ר גב - שחור</v>
      </c>
      <c r="C1098" s="7">
        <v>533.95000000000005</v>
      </c>
      <c r="D1098" s="2"/>
    </row>
    <row r="1099" spans="1:4" x14ac:dyDescent="0.2">
      <c r="A1099" s="2">
        <v>1096</v>
      </c>
      <c r="B1099" s="2" t="str">
        <f>"ארון מתכת 2 דלתות 43*86*193 צבע חום-ב'ז"</f>
        <v>ארון מתכת 2 דלתות 43*86*193 צבע חום-ב'ז</v>
      </c>
      <c r="C1099" s="7">
        <v>760.2</v>
      </c>
      <c r="D1099" s="2"/>
    </row>
    <row r="1100" spans="1:4" x14ac:dyDescent="0.2">
      <c r="A1100" s="2">
        <v>1097</v>
      </c>
      <c r="B1100" s="2" t="str">
        <f>"כסא אקווה מרין שחור - ד""ר גב"</f>
        <v>כסא אקווה מרין שחור - ד"ר גב</v>
      </c>
      <c r="C1100" s="7">
        <v>677.84500000000003</v>
      </c>
      <c r="D1100" s="2"/>
    </row>
    <row r="1101" spans="1:4" x14ac:dyDescent="0.2">
      <c r="A1101" s="2">
        <v>1098</v>
      </c>
      <c r="B1101" s="2" t="str">
        <f>"כסא מזכירה דגם'' גל ''כולל ידיות קבועות שחור"</f>
        <v>כסא מזכירה דגם'' גל ''כולל ידיות קבועות שחור</v>
      </c>
      <c r="C1101" s="7">
        <v>361.09500000000003</v>
      </c>
      <c r="D1101" s="2"/>
    </row>
    <row r="1102" spans="1:4" x14ac:dyDescent="0.2">
      <c r="A1102" s="2">
        <v>1099</v>
      </c>
      <c r="B1102" s="2" t="str">
        <f>"הדום לרגלים ממתכת"</f>
        <v>הדום לרגלים ממתכת</v>
      </c>
      <c r="C1102" s="7">
        <v>56.11</v>
      </c>
      <c r="D1102" s="2"/>
    </row>
    <row r="1103" spans="1:4" x14ac:dyDescent="0.2">
      <c r="A1103" s="2">
        <v>1100</v>
      </c>
      <c r="B1103" s="2" t="str">
        <f>"מעמד רשת משולב לעטים מרקרים וסיכות שחור"</f>
        <v>מעמד רשת משולב לעטים מרקרים וסיכות שחור</v>
      </c>
      <c r="C1103" s="7">
        <v>13.575000000000001</v>
      </c>
      <c r="D1103" s="2"/>
    </row>
    <row r="1104" spans="1:4" x14ac:dyDescent="0.2">
      <c r="A1104" s="2">
        <v>1101</v>
      </c>
      <c r="B1104" s="2" t="str">
        <f>"מעמד רשת מתכת לכרטיסי ביקור 931/02"</f>
        <v>מעמד רשת מתכת לכרטיסי ביקור 931/02</v>
      </c>
      <c r="C1104" s="7">
        <v>8.5975000000000001</v>
      </c>
      <c r="D1104" s="2"/>
    </row>
    <row r="1105" spans="1:4" x14ac:dyDescent="0.2">
      <c r="A1105" s="2">
        <v>1102</v>
      </c>
      <c r="B1105" s="2" t="str">
        <f>"מעמד רשת משולב לעטים מרקרים וסיכות מתכת כסוף"</f>
        <v>מעמד רשת משולב לעטים מרקרים וסיכות מתכת כסוף</v>
      </c>
      <c r="C1105" s="7">
        <v>9.1133500000000005</v>
      </c>
      <c r="D1105" s="2"/>
    </row>
    <row r="1106" spans="1:4" x14ac:dyDescent="0.2">
      <c r="A1106" s="2">
        <v>1103</v>
      </c>
      <c r="B1106" s="2" t="str">
        <f>"כוס רשת עגולה שחורה 261/02 161/02"</f>
        <v>כוס רשת עגולה שחורה 261/02 161/02</v>
      </c>
      <c r="C1106" s="7">
        <v>5.3847500000000004</v>
      </c>
      <c r="D1106" s="2"/>
    </row>
    <row r="1107" spans="1:4" x14ac:dyDescent="0.2">
      <c r="A1107" s="2">
        <v>1104</v>
      </c>
      <c r="B1107" s="2" t="str">
        <f>"כוס רשת מתכת עגולה כסופה"</f>
        <v>כוס רשת מתכת עגולה כסופה</v>
      </c>
      <c r="C1107" s="7">
        <v>5.5748000000000006</v>
      </c>
      <c r="D1107" s="2"/>
    </row>
    <row r="1108" spans="1:4" x14ac:dyDescent="0.2">
      <c r="A1108" s="2">
        <v>1105</v>
      </c>
      <c r="B1108" s="2" t="str">
        <f>"סוללות דורסל DURACELL AA אצבע מארז 4 יח'"</f>
        <v>סוללות דורסל DURACELL AA אצבע מארז 4 יח'</v>
      </c>
      <c r="C1108" s="7">
        <v>15.8375</v>
      </c>
      <c r="D1108" s="2"/>
    </row>
    <row r="1109" spans="1:4" x14ac:dyDescent="0.2">
      <c r="A1109" s="2">
        <v>1106</v>
      </c>
      <c r="B1109" s="2" t="str">
        <f>"סוללות דורסל DURACELL AAA קטנות מארז 4 יח'"</f>
        <v>סוללות דורסל DURACELL AAA קטנות מארז 4 יח'</v>
      </c>
      <c r="C1109" s="7">
        <v>15.8375</v>
      </c>
      <c r="D1109" s="2"/>
    </row>
    <row r="1110" spans="1:4" x14ac:dyDescent="0.2">
      <c r="A1110" s="2">
        <v>1107</v>
      </c>
      <c r="B1110" s="2" t="str">
        <f>"סוללות אנרגיזר ENERGIZER AA מארז של 4 יח'"</f>
        <v>סוללות אנרגיזר ENERGIZER AA מארז של 4 יח'</v>
      </c>
      <c r="C1110" s="7">
        <v>8.1449999999999996</v>
      </c>
      <c r="D1110" s="2"/>
    </row>
    <row r="1111" spans="1:4" x14ac:dyDescent="0.2">
      <c r="A1111" s="2">
        <v>1108</v>
      </c>
      <c r="B1111" s="2" t="str">
        <f>"סוללות אנרגיזר ENERGIZER AAA מארז של 4 יח'"</f>
        <v>סוללות אנרגיזר ENERGIZER AAA מארז של 4 יח'</v>
      </c>
      <c r="C1111" s="7">
        <v>5.9729999999999999</v>
      </c>
      <c r="D1111" s="2"/>
    </row>
    <row r="1112" spans="1:4" x14ac:dyDescent="0.2">
      <c r="A1112" s="2">
        <v>1109</v>
      </c>
      <c r="B1112" s="2" t="str">
        <f>"קומקום חשמלי 1.7 ליטר KENNEDY SV-860 באישור בד""ץ"</f>
        <v>קומקום חשמלי 1.7 ליטר KENNEDY SV-860 באישור בד"ץ</v>
      </c>
      <c r="C1112" s="7">
        <v>48.987650000000002</v>
      </c>
      <c r="D1112" s="2"/>
    </row>
    <row r="1113" spans="1:4" x14ac:dyDescent="0.2">
      <c r="A1113" s="2">
        <v>1110</v>
      </c>
      <c r="B1113" s="2" t="str">
        <f>"סוללה לשלט A27של ENERGIZER"</f>
        <v>סוללה לשלט A27של ENERGIZER</v>
      </c>
      <c r="C1113" s="7">
        <v>6.7603499999999999</v>
      </c>
      <c r="D1113" s="2"/>
    </row>
    <row r="1114" spans="1:4" x14ac:dyDescent="0.2">
      <c r="A1114" s="2">
        <v>1111</v>
      </c>
      <c r="B1114" s="2" t="str">
        <f>"מארז 4 סוללות אלקליין אצבע GP AA"</f>
        <v>מארז 4 סוללות אלקליין אצבע GP AA</v>
      </c>
      <c r="C1114" s="7">
        <v>5.9729999999999999</v>
      </c>
      <c r="D1114" s="2"/>
    </row>
    <row r="1115" spans="1:4" x14ac:dyDescent="0.2">
      <c r="A1115" s="2">
        <v>1112</v>
      </c>
      <c r="B1115" s="2" t="str">
        <f>"מחברת כריכה קשה קלאסי A5 PU שחורIL"</f>
        <v>מחברת כריכה קשה קלאסי A5 PU שחורIL</v>
      </c>
      <c r="C1115" s="7">
        <v>22.625</v>
      </c>
      <c r="D1115" s="2"/>
    </row>
    <row r="1116" spans="1:4" x14ac:dyDescent="0.2">
      <c r="A1116" s="2">
        <v>1113</v>
      </c>
      <c r="B1116" s="2" t="str">
        <f>"סוללות TOSHIBA אלקליין AAA דקות (4  בבליסטר)"</f>
        <v>סוללות TOSHIBA אלקליין AAA דקות (4  בבליסטר)</v>
      </c>
      <c r="C1116" s="7">
        <v>6.335</v>
      </c>
      <c r="D1116" s="2"/>
    </row>
    <row r="1117" spans="1:4" x14ac:dyDescent="0.2">
      <c r="A1117" s="2">
        <v>1114</v>
      </c>
      <c r="B1117" s="2" t="str">
        <f>"סוללות TOSHIBA אלקליין AA דקות (4  בבליסטר)"</f>
        <v>סוללות TOSHIBA אלקליין AA דקות (4  בבליסטר)</v>
      </c>
      <c r="C1117" s="7">
        <v>6.335</v>
      </c>
      <c r="D1117" s="2"/>
    </row>
    <row r="1118" spans="1:4" x14ac:dyDescent="0.2">
      <c r="A1118" s="2">
        <v>1115</v>
      </c>
      <c r="B1118" s="2" t="str">
        <f>"מסך HD+DV+VG 243V5QHAB 23.6+רמ PHILIPS"</f>
        <v>מסך HD+DV+VG 243V5QHAB 23.6+רמ PHILIPS</v>
      </c>
      <c r="C1118" s="7">
        <v>407.25</v>
      </c>
      <c r="D1118" s="2"/>
    </row>
    <row r="1119" spans="1:4" x14ac:dyDescent="0.2">
      <c r="A1119" s="2">
        <v>1116</v>
      </c>
      <c r="B1119" s="2" t="str">
        <f>"פומפונים 3 ס""מ-50  יח'"</f>
        <v>פומפונים 3 ס"מ-50  יח'</v>
      </c>
      <c r="C1119" s="7">
        <v>4.9775</v>
      </c>
      <c r="D1119" s="2"/>
    </row>
    <row r="1120" spans="1:4" x14ac:dyDescent="0.2">
      <c r="A1120" s="2">
        <v>1117</v>
      </c>
      <c r="B1120" s="2" t="str">
        <f>"תיק נשיאה למחשב נייד 14""-15.6"" שחור"</f>
        <v>תיק נשיאה למחשב נייד 14"-15.6" שחור</v>
      </c>
      <c r="C1120" s="7">
        <v>113.125</v>
      </c>
      <c r="D1120" s="2"/>
    </row>
    <row r="1121" spans="1:4" x14ac:dyDescent="0.2">
      <c r="A1121" s="2">
        <v>1118</v>
      </c>
      <c r="B1121" s="2" t="str">
        <f>"מסך מחשב 24"" LG 24M47VQ"</f>
        <v>מסך מחשב 24" LG 24M47VQ</v>
      </c>
      <c r="C1121" s="7">
        <v>443.45</v>
      </c>
      <c r="D1121" s="2"/>
    </row>
    <row r="1122" spans="1:4" x14ac:dyDescent="0.2">
      <c r="A1122" s="2">
        <v>1119</v>
      </c>
      <c r="B1122" s="2" t="str">
        <f>"מעמד הגבהה למסך מחשב LZ-330"</f>
        <v>מעמד הגבהה למסך מחשב LZ-330</v>
      </c>
      <c r="C1122" s="7">
        <v>67.875</v>
      </c>
      <c r="D1122" s="2"/>
    </row>
    <row r="1123" spans="1:4" x14ac:dyDescent="0.2">
      <c r="A1123" s="2">
        <v>1120</v>
      </c>
      <c r="B1123" s="2" t="str">
        <f>"כונן חיצוני ""2.5 Seagate External 1TB USB3"</f>
        <v>כונן חיצוני "2.5 Seagate External 1TB USB3</v>
      </c>
      <c r="C1123" s="7">
        <v>212.67500000000001</v>
      </c>
      <c r="D1123" s="2"/>
    </row>
    <row r="1124" spans="1:4" x14ac:dyDescent="0.2">
      <c r="A1124" s="2">
        <v>1121</v>
      </c>
      <c r="B1124" s="2" t="str">
        <f>"כונן חיצוני ""2.5 Seagate External 2TB USB3"</f>
        <v>כונן חיצוני "2.5 Seagate External 2TB USB3</v>
      </c>
      <c r="C1124" s="7">
        <v>297.745</v>
      </c>
      <c r="D1124" s="2"/>
    </row>
    <row r="1125" spans="1:4" x14ac:dyDescent="0.2">
      <c r="A1125" s="2">
        <v>1122</v>
      </c>
      <c r="B1125" s="2" t="str">
        <f>"מתקן נייר טואלט טואלט זוגות AQUARIUS"</f>
        <v>מתקן נייר טואלט טואלט זוגות AQUARIUS</v>
      </c>
      <c r="C1125" s="7">
        <v>76.924999999999997</v>
      </c>
      <c r="D1125" s="2"/>
    </row>
    <row r="1126" spans="1:4" x14ac:dyDescent="0.2">
      <c r="A1126" s="2">
        <v>1123</v>
      </c>
      <c r="B1126" s="2" t="str">
        <f>"כבל איכותי HDMI 4K ל-HDMI ז/ז 2.0 באורך 2 מטר"</f>
        <v>כבל איכותי HDMI 4K ל-HDMI ז/ז 2.0 באורך 2 מטר</v>
      </c>
      <c r="C1126" s="7">
        <v>18.009499999999999</v>
      </c>
      <c r="D1126" s="2"/>
    </row>
    <row r="1127" spans="1:4" x14ac:dyDescent="0.2">
      <c r="A1127" s="2">
        <v>1124</v>
      </c>
      <c r="B1127" s="2" t="str">
        <f>"כבל איכותי HDMI 4K ל-HDMI ז/ז 2.0 באורך 3 מטר"</f>
        <v>כבל איכותי HDMI 4K ל-HDMI ז/ז 2.0 באורך 3 מטר</v>
      </c>
      <c r="C1127" s="7">
        <v>22.625</v>
      </c>
      <c r="D1127" s="2"/>
    </row>
    <row r="1128" spans="1:4" x14ac:dyDescent="0.2">
      <c r="A1128" s="2">
        <v>1125</v>
      </c>
      <c r="B1128" s="2" t="str">
        <f>"קפה טורקי במנות (600  בקרטון )"</f>
        <v>קפה טורקי במנות (600  בקרטון )</v>
      </c>
      <c r="C1128" s="7">
        <v>357.47500000000002</v>
      </c>
      <c r="D1128" s="2"/>
    </row>
    <row r="1129" spans="1:4" x14ac:dyDescent="0.2">
      <c r="A1129" s="2">
        <v>1126</v>
      </c>
      <c r="B1129" s="2" t="str">
        <f>"קפה נמס עלית במנות (600  בקרטון )"</f>
        <v>קפה נמס עלית במנות (600  בקרטון )</v>
      </c>
      <c r="C1129" s="7">
        <v>198.19499999999999</v>
      </c>
      <c r="D1129" s="2"/>
    </row>
    <row r="1130" spans="1:4" x14ac:dyDescent="0.2">
      <c r="A1130" s="2">
        <v>1127</v>
      </c>
      <c r="B1130" s="2" t="str">
        <f>"מטליות לניקוי כללי חד פעמי בדלי (400 במארז )"</f>
        <v>מטליות לניקוי כללי חד פעמי בדלי (400 במארז )</v>
      </c>
      <c r="C1130" s="7">
        <v>16.7425</v>
      </c>
      <c r="D1130" s="2"/>
    </row>
    <row r="1131" spans="1:4" x14ac:dyDescent="0.2">
      <c r="A1131" s="2">
        <v>1128</v>
      </c>
      <c r="B1131" s="2" t="str">
        <f>"כוס פלסטיק איכותית לשתיה קרה 100 בשרוול"</f>
        <v>כוס פלסטיק איכותית לשתיה קרה 100 בשרוול</v>
      </c>
      <c r="C1131" s="7">
        <v>3.077</v>
      </c>
      <c r="D1131" s="2"/>
    </row>
    <row r="1132" spans="1:4" x14ac:dyDescent="0.2">
      <c r="A1132" s="2">
        <v>1129</v>
      </c>
      <c r="B1132" s="2" t="str">
        <f>"נוזל לנקוי חלונות- 1 ליטר בקבוק"</f>
        <v>נוזל לנקוי חלונות- 1 ליטר בקבוק</v>
      </c>
      <c r="C1132" s="7">
        <v>6.7875000000000005</v>
      </c>
      <c r="D1132" s="2"/>
    </row>
    <row r="1133" spans="1:4" x14ac:dyDescent="0.2">
      <c r="A1133" s="2">
        <v>1130</v>
      </c>
      <c r="B1133" s="2" t="str">
        <f>"מגבת ידיים סקוט מקס 350 מטר( 6 יחא במארז(-לבן מק"</f>
        <v>מגבת ידיים סקוט מקס 350 מטר( 6 יחא במארז(-לבן מק</v>
      </c>
      <c r="C1133" s="7">
        <v>203.625</v>
      </c>
      <c r="D1133" s="2"/>
    </row>
    <row r="1134" spans="1:4" x14ac:dyDescent="0.2">
      <c r="A1134" s="2">
        <v>1131</v>
      </c>
      <c r="B1134" s="2" t="str">
        <f>"מתקן מגבת ידיים סקוט מקס צבע לבן 6989"</f>
        <v>מתקן מגבת ידיים סקוט מקס צבע לבן 6989</v>
      </c>
      <c r="C1134" s="7">
        <v>176.47499999999999</v>
      </c>
      <c r="D1134" s="2"/>
    </row>
    <row r="1135" spans="1:4" x14ac:dyDescent="0.2">
      <c r="A1135" s="2">
        <v>1132</v>
      </c>
      <c r="B1135" s="2" t="str">
        <f>"מטליות רצפה חד פעמי 40/60 בדלי 50)  במארז )"</f>
        <v>מטליות רצפה חד פעמי 40/60 בדלי 50)  במארז )</v>
      </c>
      <c r="C1135" s="7">
        <v>31.584499999999998</v>
      </c>
      <c r="D1135" s="2"/>
    </row>
    <row r="1136" spans="1:4" x14ac:dyDescent="0.2">
      <c r="A1136" s="2">
        <v>1133</v>
      </c>
      <c r="B1136" s="2" t="str">
        <f>"תה צמחים ורד הבר *347301"</f>
        <v>תה צמחים ורד הבר *347301</v>
      </c>
      <c r="C1136" s="7">
        <v>12.579500000000001</v>
      </c>
      <c r="D1136" s="2"/>
    </row>
    <row r="1137" spans="1:4" x14ac:dyDescent="0.2">
      <c r="A1137" s="2">
        <v>1134</v>
      </c>
      <c r="B1137" s="2" t="str">
        <f>"מקלוני סוכר1000 בקופסא 4  גרם"</f>
        <v>מקלוני סוכר1000 בקופסא 4  גרם</v>
      </c>
      <c r="C1137" s="7">
        <v>43.44</v>
      </c>
      <c r="D1137" s="2"/>
    </row>
    <row r="1138" spans="1:4" x14ac:dyDescent="0.2">
      <c r="A1138" s="2">
        <v>1135</v>
      </c>
      <c r="B1138" s="2" t="str">
        <f>"צלחת פלסטיק חד פעמית קטנה (50 יח')"</f>
        <v>צלחת פלסטיק חד פעמית קטנה (50 יח')</v>
      </c>
      <c r="C1138" s="7">
        <v>2.2625000000000002</v>
      </c>
      <c r="D1138" s="2"/>
    </row>
    <row r="1139" spans="1:4" x14ac:dyDescent="0.2">
      <c r="A1139" s="2">
        <v>1136</v>
      </c>
      <c r="B1139" s="2" t="str">
        <f>"צלחת פלסטיק חד פעמית גדולה (50  יח)"</f>
        <v>צלחת פלסטיק חד פעמית גדולה (50  יח)</v>
      </c>
      <c r="C1139" s="7">
        <v>3.1675</v>
      </c>
      <c r="D1139" s="2"/>
    </row>
    <row r="1140" spans="1:4" x14ac:dyDescent="0.2">
      <c r="A1140" s="2">
        <v>1137</v>
      </c>
      <c r="B1140" s="2" t="str">
        <f>"כוס פלסטיק לשתיה קרה 100בשרוול"</f>
        <v>כוס פלסטיק לשתיה קרה 100בשרוול</v>
      </c>
      <c r="C1140" s="7">
        <v>2.3530000000000002</v>
      </c>
      <c r="D1140" s="2"/>
    </row>
    <row r="1141" spans="1:4" x14ac:dyDescent="0.2">
      <c r="A1141" s="2">
        <v>1138</v>
      </c>
      <c r="B1141" s="2" t="str">
        <f>"כפיות פלסטיק חד פעמי -100  יח'"</f>
        <v>כפיות פלסטיק חד פעמי -100  יח'</v>
      </c>
      <c r="C1141" s="7">
        <v>2.1720000000000002</v>
      </c>
      <c r="D1141" s="2"/>
    </row>
    <row r="1142" spans="1:4" x14ac:dyDescent="0.2">
      <c r="A1142" s="2">
        <v>1139</v>
      </c>
      <c r="B1142" s="2" t="str">
        <f>"כפות פלסטיק חד פעמי -100  יח'"</f>
        <v>כפות פלסטיק חד פעמי -100  יח'</v>
      </c>
      <c r="C1142" s="7">
        <v>3.9820000000000007</v>
      </c>
      <c r="D1142" s="2"/>
    </row>
    <row r="1143" spans="1:4" x14ac:dyDescent="0.2">
      <c r="A1143" s="2">
        <v>1140</v>
      </c>
      <c r="B1143" s="2" t="str">
        <f>"סכין פלסטיק חד פעמי-100  יח'"</f>
        <v>סכין פלסטיק חד פעמי-100  יח'</v>
      </c>
      <c r="C1143" s="7">
        <v>3.1675</v>
      </c>
      <c r="D1143" s="2"/>
    </row>
    <row r="1144" spans="1:4" x14ac:dyDescent="0.2">
      <c r="A1144" s="2">
        <v>1141</v>
      </c>
      <c r="B1144" s="2" t="str">
        <f>"מזלגות פלסטיק חד פעמי-100 יח'"</f>
        <v>מזלגות פלסטיק חד פעמי-100 יח'</v>
      </c>
      <c r="C1144" s="7">
        <v>3.4390000000000001</v>
      </c>
      <c r="D1144" s="2"/>
    </row>
    <row r="1145" spans="1:4" x14ac:dyDescent="0.2">
      <c r="A1145" s="2">
        <v>1142</v>
      </c>
      <c r="B1145" s="2" t="str">
        <f>"צלחת חד פעמי גדולה 9"" איכותית לבן 25 יח'"</f>
        <v>צלחת חד פעמי גדולה 9" איכותית לבן 25 יח'</v>
      </c>
      <c r="C1145" s="7">
        <v>7.6924999999999999</v>
      </c>
      <c r="D1145" s="2"/>
    </row>
    <row r="1146" spans="1:4" x14ac:dyDescent="0.2">
      <c r="A1146" s="2">
        <v>1143</v>
      </c>
      <c r="B1146" s="2" t="str">
        <f>"גליל לניגוב ידיים שישה-ברקן"</f>
        <v>גליל לניגוב ידיים שישה-ברקן</v>
      </c>
      <c r="C1146" s="7">
        <v>23.376149999999999</v>
      </c>
      <c r="D1146" s="2"/>
    </row>
    <row r="1147" spans="1:4" x14ac:dyDescent="0.2">
      <c r="A1147" s="2">
        <v>1144</v>
      </c>
      <c r="B1147" s="2" t="str">
        <f>"נייר טואלט 48 גלילים"</f>
        <v>נייר טואלט 48 גלילים</v>
      </c>
      <c r="C1147" s="7">
        <v>37.910450000000004</v>
      </c>
      <c r="D1147" s="2"/>
    </row>
    <row r="1148" spans="1:4" x14ac:dyDescent="0.2">
      <c r="A1148" s="2">
        <v>1145</v>
      </c>
      <c r="B1148" s="2" t="str">
        <f>"נייר ניגוב ידיים צץ-רץ חד שכבתי- קרטון"</f>
        <v>נייר ניגוב ידיים צץ-רץ חד שכבתי- קרטון</v>
      </c>
      <c r="C1148" s="7">
        <v>33.9375</v>
      </c>
      <c r="D1148" s="2"/>
    </row>
    <row r="1149" spans="1:4" x14ac:dyDescent="0.2">
      <c r="A1149" s="2">
        <v>1146</v>
      </c>
      <c r="B1149" s="2" t="str">
        <f>"מעמד לגליל נייר תעשייתי"</f>
        <v>מעמד לגליל נייר תעשייתי</v>
      </c>
      <c r="C1149" s="7">
        <v>58.825000000000003</v>
      </c>
      <c r="D1149" s="2"/>
    </row>
    <row r="1150" spans="1:4" x14ac:dyDescent="0.2">
      <c r="A1150" s="2">
        <v>1147</v>
      </c>
      <c r="B1150" s="2" t="str">
        <f>"כפיות פלסטיק מחוזקת איכותית חד פעמי -100  יח'"</f>
        <v>כפיות פלסטיק מחוזקת איכותית חד פעמי -100  יח'</v>
      </c>
      <c r="C1150" s="7">
        <v>4.0724999999999998</v>
      </c>
      <c r="D1150" s="2"/>
    </row>
    <row r="1151" spans="1:4" x14ac:dyDescent="0.2">
      <c r="A1151" s="2">
        <v>1148</v>
      </c>
      <c r="B1151" s="2" t="str">
        <f>"נייר צץ-רץ -טישו נרקיס דו שכבתי2500 יח 'בקרטון"</f>
        <v>נייר צץ-רץ -טישו נרקיס דו שכבתי2500 יח 'בקרטון</v>
      </c>
      <c r="C1151" s="7">
        <v>47.06</v>
      </c>
      <c r="D1151" s="2"/>
    </row>
    <row r="1152" spans="1:4" x14ac:dyDescent="0.2">
      <c r="A1152" s="2">
        <v>1149</v>
      </c>
      <c r="B1152" s="2" t="str">
        <f>"בוחשנים לקפה עם כפית(1000  יח')"</f>
        <v>בוחשנים לקפה עם כפית(1000  יח')</v>
      </c>
      <c r="C1152" s="7">
        <v>23.53</v>
      </c>
      <c r="D1152" s="2"/>
    </row>
    <row r="1153" spans="1:4" x14ac:dyDescent="0.2">
      <c r="A1153" s="2">
        <v>1150</v>
      </c>
      <c r="B1153" s="2" t="str">
        <f>"גליל לניגוב ידיים שישייה )למטבח(-  חוגלה9881"</f>
        <v>גליל לניגוב ידיים שישייה )למטבח(-  חוגלה9881</v>
      </c>
      <c r="C1153" s="7">
        <v>8.3259999999999987</v>
      </c>
      <c r="D1153" s="2"/>
    </row>
    <row r="1154" spans="1:4" x14ac:dyDescent="0.2">
      <c r="A1154" s="2">
        <v>1151</v>
      </c>
      <c r="B1154" s="2" t="str">
        <f>"מזלגות פלסטיק מחוזקת איכותית חד פעמי -100  יח'"</f>
        <v>מזלגות פלסטיק מחוזקת איכותית חד פעמי -100  יח'</v>
      </c>
      <c r="C1154" s="7">
        <v>5.7015000000000002</v>
      </c>
      <c r="D1154" s="2"/>
    </row>
    <row r="1155" spans="1:4" x14ac:dyDescent="0.2">
      <c r="A1155" s="2">
        <v>1152</v>
      </c>
      <c r="B1155" s="2" t="str">
        <f>"מרקיות מפלסטיק חד פעמי לבן25 יחידות בחבילה"</f>
        <v>מרקיות מפלסטיק חד פעמי לבן25 יחידות בחבילה</v>
      </c>
      <c r="C1155" s="7">
        <v>3.1675</v>
      </c>
      <c r="D1155" s="2"/>
    </row>
    <row r="1156" spans="1:4" x14ac:dyDescent="0.2">
      <c r="A1156" s="2">
        <v>1153</v>
      </c>
      <c r="B1156" s="2" t="str">
        <f>"מתקן נייר טואלט ג'מבו (לבן)"</f>
        <v>מתקן נייר טואלט ג'מבו (לבן)</v>
      </c>
      <c r="C1156" s="7">
        <v>71.79365</v>
      </c>
      <c r="D1156" s="2"/>
    </row>
    <row r="1157" spans="1:4" x14ac:dyDescent="0.2">
      <c r="A1157" s="2">
        <v>1154</v>
      </c>
      <c r="B1157" s="2" t="str">
        <f>"גליל נייר תעשייתי לניגוב ידיים איכותי"</f>
        <v>גליל נייר תעשייתי לניגוב ידיים איכותי</v>
      </c>
      <c r="C1157" s="7">
        <v>29.865000000000002</v>
      </c>
      <c r="D1157" s="2"/>
    </row>
    <row r="1158" spans="1:4" x14ac:dyDescent="0.2">
      <c r="A1158" s="2">
        <v>1155</v>
      </c>
      <c r="B1158" s="2" t="str">
        <f>"סנובון לאסלה - אריזות של 3  יחידות"</f>
        <v>סנובון לאסלה - אריזות של 3  יחידות</v>
      </c>
      <c r="C1158" s="7">
        <v>11.6745</v>
      </c>
      <c r="D1158" s="2"/>
    </row>
    <row r="1159" spans="1:4" x14ac:dyDescent="0.2">
      <c r="A1159" s="2">
        <v>1156</v>
      </c>
      <c r="B1159" s="2" t="str">
        <f>"סקוטש אורך מטר (( 30505"</f>
        <v>סקוטש אורך מטר (( 30505</v>
      </c>
      <c r="C1159" s="7">
        <v>0.99550000000000016</v>
      </c>
      <c r="D1159" s="2"/>
    </row>
    <row r="1160" spans="1:4" x14ac:dyDescent="0.2">
      <c r="A1160" s="2">
        <v>1157</v>
      </c>
      <c r="B1160" s="2" t="str">
        <f>"סבון ידיים נוזלי 0.5 ליטר '''נובו '' בשלישיה"</f>
        <v>סבון ידיים נוזלי 0.5 ליטר '''נובו '' בשלישיה</v>
      </c>
      <c r="C1160" s="7">
        <v>11.6745</v>
      </c>
      <c r="D1160" s="2"/>
    </row>
    <row r="1161" spans="1:4" x14ac:dyDescent="0.2">
      <c r="A1161" s="2">
        <v>1158</v>
      </c>
      <c r="B1161" s="2" t="str">
        <f>"מטליות ריצפה50*70"</f>
        <v>מטליות ריצפה50*70</v>
      </c>
      <c r="C1161" s="7">
        <v>1.58375</v>
      </c>
      <c r="D1161" s="2"/>
    </row>
    <row r="1162" spans="1:4" x14ac:dyDescent="0.2">
      <c r="A1162" s="2">
        <v>1159</v>
      </c>
      <c r="B1162" s="2" t="str">
        <f>"מטליות אלבד לניגוב - שלישייה"</f>
        <v>מטליות אלבד לניגוב - שלישייה</v>
      </c>
      <c r="C1162" s="7">
        <v>3.0407999999999999</v>
      </c>
      <c r="D1162" s="2"/>
    </row>
    <row r="1163" spans="1:4" x14ac:dyDescent="0.2">
      <c r="A1163" s="2">
        <v>1160</v>
      </c>
      <c r="B1163" s="2" t="str">
        <f>"אקונומיקה ריחנית 4 ליטרAPC SOLO 6038"</f>
        <v>אקונומיקה ריחנית 4 ליטרAPC SOLO 6038</v>
      </c>
      <c r="C1163" s="7">
        <v>7.9640000000000013</v>
      </c>
      <c r="D1163" s="2"/>
    </row>
    <row r="1164" spans="1:4" x14ac:dyDescent="0.2">
      <c r="A1164" s="2">
        <v>1161</v>
      </c>
      <c r="B1164" s="2" t="str">
        <f>"מטאטא כביש 40 ס''מ - ללא מקל"</f>
        <v>מטאטא כביש 40 ס''מ - ללא מקל</v>
      </c>
      <c r="C1164" s="7">
        <v>12.217500000000001</v>
      </c>
      <c r="D1164" s="2"/>
    </row>
    <row r="1165" spans="1:4" x14ac:dyDescent="0.2">
      <c r="A1165" s="2">
        <v>1162</v>
      </c>
      <c r="B1165" s="2" t="str">
        <f>"מקל עץ + הברגה1.5 מטר"</f>
        <v>מקל עץ + הברגה1.5 מטר</v>
      </c>
      <c r="C1165" s="7">
        <v>3.4390000000000001</v>
      </c>
      <c r="D1165" s="2"/>
    </row>
    <row r="1166" spans="1:4" x14ac:dyDescent="0.2">
      <c r="A1166" s="2">
        <v>1163</v>
      </c>
      <c r="B1166" s="2" t="str">
        <f>"מגב פלסטיק 40 ס''מ - ללא מקל"</f>
        <v>מגב פלסטיק 40 ס''מ - ללא מקל</v>
      </c>
      <c r="C1166" s="7">
        <v>3.1675</v>
      </c>
      <c r="D1166" s="2"/>
    </row>
    <row r="1167" spans="1:4" x14ac:dyDescent="0.2">
      <c r="A1167" s="2">
        <v>1164</v>
      </c>
      <c r="B1167" s="2" t="str">
        <f>"דלי לשטיפת רצפות עם ידית"</f>
        <v>דלי לשטיפת רצפות עם ידית</v>
      </c>
      <c r="C1167" s="7">
        <v>4.4797500000000001</v>
      </c>
      <c r="D1167" s="2"/>
    </row>
    <row r="1168" spans="1:4" x14ac:dyDescent="0.2">
      <c r="A1168" s="2">
        <v>1165</v>
      </c>
      <c r="B1168" s="2" t="str">
        <f>"מטאטא משרד30 ס''''מ ( ללא מקל )"</f>
        <v>מטאטא משרד30 ס''''מ ( ללא מקל )</v>
      </c>
      <c r="C1168" s="7">
        <v>3.4390000000000001</v>
      </c>
      <c r="D1168" s="2"/>
    </row>
    <row r="1169" spans="1:4" x14ac:dyDescent="0.2">
      <c r="A1169" s="2">
        <v>1166</v>
      </c>
      <c r="B1169" s="2" t="str">
        <f>"אקונומיקה 4 ליטר"</f>
        <v>אקונומיקה 4 ליטר</v>
      </c>
      <c r="C1169" s="7">
        <v>4.8870000000000005</v>
      </c>
      <c r="D1169" s="2"/>
    </row>
    <row r="1170" spans="1:4" x14ac:dyDescent="0.2">
      <c r="A1170" s="2">
        <v>1167</v>
      </c>
      <c r="B1170" s="2" t="str">
        <f>"סבון כלים 4 ליטר MSDS-12%"</f>
        <v>סבון כלים 4 ליטר MSDS-12%</v>
      </c>
      <c r="C1170" s="7">
        <v>11.61115</v>
      </c>
      <c r="D1170" s="2"/>
    </row>
    <row r="1171" spans="1:4" x14ac:dyDescent="0.2">
      <c r="A1171" s="2">
        <v>1168</v>
      </c>
      <c r="B1171" s="2" t="str">
        <f>"נוזל לשטיפת רצפות מג'יק -4 ליטר"</f>
        <v>נוזל לשטיפת רצפות מג'יק -4 ליטר</v>
      </c>
      <c r="C1171" s="7">
        <v>9.5024999999999995</v>
      </c>
      <c r="D1171" s="2"/>
    </row>
    <row r="1172" spans="1:4" x14ac:dyDescent="0.2">
      <c r="A1172" s="2">
        <v>1169</v>
      </c>
      <c r="B1172" s="2" t="str">
        <f>"סבון ידיים סולו אדום -4  ליטרSDSM"</f>
        <v>סבון ידיים סולו אדום -4  ליטרSDSM</v>
      </c>
      <c r="C1172" s="7">
        <v>13.937000000000001</v>
      </c>
      <c r="D1172" s="2"/>
    </row>
    <row r="1173" spans="1:4" x14ac:dyDescent="0.2">
      <c r="A1173" s="2">
        <v>1170</v>
      </c>
      <c r="B1173" s="2" t="str">
        <f>"נוזל לנקוי חלונות- 750 סמ''קMSDS"</f>
        <v>נוזל לנקוי חלונות- 750 סמ''קMSDS</v>
      </c>
      <c r="C1173" s="7">
        <v>3.9820000000000007</v>
      </c>
      <c r="D1173" s="2"/>
    </row>
    <row r="1174" spans="1:4" x14ac:dyDescent="0.2">
      <c r="A1174" s="2">
        <v>1171</v>
      </c>
      <c r="B1174" s="2" t="str">
        <f>"אשפתון שקוף בגליל בגודל 70*50  ס""מ 6 מיקרון"</f>
        <v>אשפתון שקוף בגליל בגודל 70*50  ס"מ 6 מיקרון</v>
      </c>
      <c r="C1174" s="7">
        <v>3.5295000000000001</v>
      </c>
      <c r="D1174" s="2"/>
    </row>
    <row r="1175" spans="1:4" x14ac:dyDescent="0.2">
      <c r="A1175" s="2">
        <v>1172</v>
      </c>
      <c r="B1175" s="2" t="str">
        <f>"כרית יפנית לרחיצת כלים"</f>
        <v>כרית יפנית לרחיצת כלים</v>
      </c>
      <c r="C1175" s="7">
        <v>0.85975000000000001</v>
      </c>
      <c r="D1175" s="2"/>
    </row>
    <row r="1176" spans="1:4" x14ac:dyDescent="0.2">
      <c r="A1176" s="2">
        <v>1173</v>
      </c>
      <c r="B1176" s="2" t="str">
        <f>"נייר טישו בקופסה"</f>
        <v>נייר טישו בקופסה</v>
      </c>
      <c r="C1176" s="7">
        <v>3.5295000000000001</v>
      </c>
      <c r="D1176" s="2"/>
    </row>
    <row r="1177" spans="1:4" x14ac:dyDescent="0.2">
      <c r="A1177" s="2">
        <v>1174</v>
      </c>
      <c r="B1177" s="2" t="str">
        <f>"אשפתון איזבל 75*90  כתום + שרוך (10  יח'("</f>
        <v>אשפתון איזבל 75*90  כתום + שרוך (10  יח'(</v>
      </c>
      <c r="C1177" s="7">
        <v>4.0724999999999998</v>
      </c>
      <c r="D1177" s="2"/>
    </row>
    <row r="1178" spans="1:4" x14ac:dyDescent="0.2">
      <c r="A1178" s="2">
        <v>1175</v>
      </c>
      <c r="B1178" s="2" t="str">
        <f>"תה צמחים מנטה ((347318"</f>
        <v>תה צמחים מנטה ((347318</v>
      </c>
      <c r="C1178" s="7">
        <v>12.579500000000001</v>
      </c>
      <c r="D1178" s="2"/>
    </row>
    <row r="1179" spans="1:4" x14ac:dyDescent="0.2">
      <c r="A1179" s="2">
        <v>1176</v>
      </c>
      <c r="B1179" s="2" t="str">
        <f>"תה צמחים קינמון 347295"</f>
        <v>תה צמחים קינמון 347295</v>
      </c>
      <c r="C1179" s="7">
        <v>12.579500000000001</v>
      </c>
      <c r="D1179" s="2"/>
    </row>
    <row r="1180" spans="1:4" x14ac:dyDescent="0.2">
      <c r="A1180" s="2">
        <v>1177</v>
      </c>
      <c r="B1180" s="2" t="str">
        <f>"תה צמחים קמומיל 347325"</f>
        <v>תה צמחים קמומיל 347325</v>
      </c>
      <c r="C1180" s="7">
        <v>12.579500000000001</v>
      </c>
      <c r="D1180" s="2"/>
    </row>
    <row r="1181" spans="1:4" x14ac:dyDescent="0.2">
      <c r="A1181" s="2">
        <v>1178</v>
      </c>
      <c r="B1181" s="2" t="str">
        <f>"סוכר מנות חום 1000 יח  4 גרם"</f>
        <v>סוכר מנות חום 1000 יח  4 גרם</v>
      </c>
      <c r="C1181" s="7">
        <v>59.730000000000004</v>
      </c>
      <c r="D1181" s="2"/>
    </row>
    <row r="1182" spans="1:4" x14ac:dyDescent="0.2">
      <c r="A1182" s="2">
        <v>1179</v>
      </c>
      <c r="B1182" s="2" t="str">
        <f>"הובלת ריהוט"</f>
        <v>הובלת ריהוט</v>
      </c>
      <c r="C1182" s="7">
        <v>271.5</v>
      </c>
      <c r="D1182" s="2"/>
    </row>
    <row r="1183" spans="1:4" x14ac:dyDescent="0.2">
      <c r="A1183" s="2">
        <v>1180</v>
      </c>
      <c r="B1183" s="2" t="str">
        <f>"כדורי קלקר4 ס''מ100 יחידות"</f>
        <v>כדורי קלקר4 ס''מ100 יחידות</v>
      </c>
      <c r="C1183" s="7">
        <v>17.195</v>
      </c>
      <c r="D1183" s="2"/>
    </row>
    <row r="1184" spans="1:4" x14ac:dyDescent="0.2">
      <c r="A1184" s="2">
        <v>1181</v>
      </c>
      <c r="B1184" s="2" t="str">
        <f>"כדורי קלקר5 ס''מ100 יחידות"</f>
        <v>כדורי קלקר5 ס''מ100 יחידות</v>
      </c>
      <c r="C1184" s="7">
        <v>25.7925</v>
      </c>
      <c r="D1184" s="2"/>
    </row>
    <row r="1185" spans="1:4" x14ac:dyDescent="0.2">
      <c r="A1185" s="2">
        <v>1182</v>
      </c>
      <c r="B1185" s="2" t="str">
        <f>"עיניים זזות7 מ''מ1/100"</f>
        <v>עיניים זזות7 מ''מ1/100</v>
      </c>
      <c r="C1185" s="7">
        <v>1.9005000000000001</v>
      </c>
      <c r="D1185" s="2"/>
    </row>
    <row r="1186" spans="1:4" x14ac:dyDescent="0.2">
      <c r="A1186" s="2">
        <v>1183</v>
      </c>
      <c r="B1186" s="2" t="str">
        <f>"אשפתון  שחור בגליל 75*90  50 יח'"</f>
        <v>אשפתון  שחור בגליל 75*90  50 יח'</v>
      </c>
      <c r="C1186" s="7">
        <v>4.3440000000000003</v>
      </c>
      <c r="D1186" s="2"/>
    </row>
    <row r="1187" spans="1:4" x14ac:dyDescent="0.2">
      <c r="A1187" s="2">
        <v>1184</v>
      </c>
      <c r="B1187" s="2" t="str">
        <f>"שעון קיר מספרים"</f>
        <v>שעון קיר מספרים</v>
      </c>
      <c r="C1187" s="7">
        <v>28.96</v>
      </c>
      <c r="D1187" s="2"/>
    </row>
    <row r="1188" spans="1:4" x14ac:dyDescent="0.2">
      <c r="A1188" s="2">
        <v>1185</v>
      </c>
      <c r="B1188" s="2" t="str">
        <f>"נייר טישו בשקית"</f>
        <v>נייר טישו בשקית</v>
      </c>
      <c r="C1188" s="7">
        <v>1.5385</v>
      </c>
      <c r="D1188" s="2"/>
    </row>
    <row r="1189" spans="1:4" x14ac:dyDescent="0.2">
      <c r="A1189" s="2">
        <v>1186</v>
      </c>
      <c r="B1189" s="2" t="str">
        <f>"מקלות ארטיק טבעי200 גר"</f>
        <v>מקלות ארטיק טבעי200 גר</v>
      </c>
      <c r="C1189" s="7">
        <v>4.3440000000000003</v>
      </c>
      <c r="D1189" s="2"/>
    </row>
    <row r="1190" spans="1:4" x14ac:dyDescent="0.2">
      <c r="A1190" s="2">
        <v>1187</v>
      </c>
      <c r="B1190" s="2" t="str">
        <f>"מקלות רופא טבעי 200גר' (חבילה)"</f>
        <v>מקלות רופא טבעי 200גר' (חבילה)</v>
      </c>
      <c r="C1190" s="7">
        <v>5.2489999999999997</v>
      </c>
      <c r="D1190" s="2"/>
    </row>
    <row r="1191" spans="1:4" x14ac:dyDescent="0.2">
      <c r="A1191" s="2">
        <v>1188</v>
      </c>
      <c r="B1191" s="2" t="str">
        <f>"תחבושות גבס7.5X270"</f>
        <v>תחבושות גבס7.5X270</v>
      </c>
      <c r="C1191" s="7">
        <v>2.1086499999999999</v>
      </c>
      <c r="D1191" s="2"/>
    </row>
    <row r="1192" spans="1:4" x14ac:dyDescent="0.2">
      <c r="A1192" s="2">
        <v>1189</v>
      </c>
      <c r="B1192" s="2" t="str">
        <f>"מגבת ידיים סלים רול סקוט איירפלקס בגליל1/6 -165מ"</f>
        <v>מגבת ידיים סלים רול סקוט איירפלקס בגליל1/6 -165מ</v>
      </c>
      <c r="C1192" s="7">
        <v>85.975000000000009</v>
      </c>
      <c r="D1192" s="2"/>
    </row>
    <row r="1193" spans="1:4" x14ac:dyDescent="0.2">
      <c r="A1193" s="2">
        <v>1190</v>
      </c>
      <c r="B1193" s="2" t="str">
        <f>"מגבת ידיים צץ רץ איירפלקס סלים פולד-P-58550"</f>
        <v>מגבת ידיים צץ רץ איירפלקס סלים פולד-P-58550</v>
      </c>
      <c r="C1193" s="7">
        <v>79.64</v>
      </c>
      <c r="D1193" s="2"/>
    </row>
    <row r="1194" spans="1:4" x14ac:dyDescent="0.2">
      <c r="A1194" s="2">
        <v>1191</v>
      </c>
      <c r="B1194" s="2" t="str">
        <f>"מתקן נ.ט פטנט - זוג גלילים )  דגם ( 5632"</f>
        <v>מתקן נ.ט פטנט - זוג גלילים )  דגם ( 5632</v>
      </c>
      <c r="C1194" s="7">
        <v>36.200000000000003</v>
      </c>
      <c r="D1194" s="2"/>
    </row>
    <row r="1195" spans="1:4" x14ac:dyDescent="0.2">
      <c r="A1195" s="2">
        <v>1192</v>
      </c>
      <c r="B1195" s="2" t="str">
        <f>"מגבת איירפלקס סקוט 304מטר (6650) )  6יחא במארז("</f>
        <v>מגבת איירפלקס סקוט 304מטר (6650) )  6יחא במארז(</v>
      </c>
      <c r="C1195" s="7">
        <v>149.32500000000002</v>
      </c>
      <c r="D1195" s="2"/>
    </row>
    <row r="1196" spans="1:4" x14ac:dyDescent="0.2">
      <c r="A1196" s="2">
        <v>1193</v>
      </c>
      <c r="B1196" s="2" t="str">
        <f>"מתקן לניגוב ידיים איירפלקס ((6959"</f>
        <v>מתקן לניגוב ידיים איירפלקס ((6959</v>
      </c>
      <c r="C1196" s="7">
        <v>22.625</v>
      </c>
      <c r="D1196" s="2"/>
    </row>
    <row r="1197" spans="1:4" x14ac:dyDescent="0.2">
      <c r="A1197" s="2">
        <v>1194</v>
      </c>
      <c r="B1197" s="2" t="str">
        <f>"אשפתון LD בגליל ירוק 75*90 עובי 30 מיקרון 25 -"</f>
        <v>אשפתון LD בגליל ירוק 75*90 עובי 30 מיקרון 25 -</v>
      </c>
      <c r="C1197" s="7">
        <v>6.0635000000000003</v>
      </c>
      <c r="D1197" s="2"/>
    </row>
    <row r="1198" spans="1:4" x14ac:dyDescent="0.2">
      <c r="A1198" s="2">
        <v>1195</v>
      </c>
      <c r="B1198" s="2" t="str">
        <f>"חוט שפגט500 גר"</f>
        <v>חוט שפגט500 גר</v>
      </c>
      <c r="C1198" s="7">
        <v>36.200000000000003</v>
      </c>
      <c r="D1198" s="2"/>
    </row>
    <row r="1199" spans="1:4" x14ac:dyDescent="0.2">
      <c r="A1199" s="2">
        <v>1196</v>
      </c>
      <c r="B1199" s="2" t="str">
        <f>"קוטל חרקים סנוK300"</f>
        <v>קוטל חרקים סנוK300</v>
      </c>
      <c r="C1199" s="7">
        <v>19.91</v>
      </c>
      <c r="D1199" s="2"/>
    </row>
    <row r="1200" spans="1:4" x14ac:dyDescent="0.2">
      <c r="A1200" s="2">
        <v>1197</v>
      </c>
      <c r="B1200" s="2" t="str">
        <f>"נייר טואלט לילי 983 -1/32"</f>
        <v>נייר טואלט לילי 983 -1/32</v>
      </c>
      <c r="C1200" s="7">
        <v>31.2225</v>
      </c>
      <c r="D1200" s="2"/>
    </row>
    <row r="1201" spans="1:4" x14ac:dyDescent="0.2">
      <c r="A1201" s="2">
        <v>1198</v>
      </c>
      <c r="B1201" s="2" t="str">
        <f>"תה צמחים פירות יער 346199"</f>
        <v>תה צמחים פירות יער 346199</v>
      </c>
      <c r="C1201" s="7">
        <v>12.579500000000001</v>
      </c>
      <c r="D1201" s="2"/>
    </row>
    <row r="1202" spans="1:4" x14ac:dyDescent="0.2">
      <c r="A1202" s="2">
        <v>1199</v>
      </c>
      <c r="B1202" s="2" t="str">
        <f>"מסיר אבנית נוזלי750 מ''ל-MSDS"</f>
        <v>מסיר אבנית נוזלי750 מ''ל-MSDS</v>
      </c>
      <c r="C1202" s="7">
        <v>11.3125</v>
      </c>
      <c r="D1202" s="2"/>
    </row>
    <row r="1203" spans="1:4" x14ac:dyDescent="0.2">
      <c r="A1203" s="2">
        <v>1200</v>
      </c>
      <c r="B1203" s="2" t="str">
        <f>"כוס שתייה מעוצבת 250מ""ל מקרטון ( 100יח' בשרוול)"</f>
        <v>כוס שתייה מעוצבת 250מ"ל מקרטון ( 100יח' בשרוול)</v>
      </c>
      <c r="C1203" s="7">
        <v>7.1495000000000006</v>
      </c>
      <c r="D1203" s="2"/>
    </row>
    <row r="1204" spans="1:4" x14ac:dyDescent="0.2">
      <c r="A1204" s="2">
        <v>1201</v>
      </c>
      <c r="B1204" s="2" t="str">
        <f>"נייר טואלט  טישו איכותי (610) - 1/32"</f>
        <v>נייר טואלט  טישו איכותי (610) - 1/32</v>
      </c>
      <c r="C1204" s="7">
        <v>19.004999999999999</v>
      </c>
      <c r="D1204" s="2"/>
    </row>
    <row r="1205" spans="1:4" x14ac:dyDescent="0.2">
      <c r="A1205" s="2">
        <v>1202</v>
      </c>
      <c r="B1205" s="2" t="str">
        <f>"מטהר אוויר300 סמ''ק- MSDS"</f>
        <v>מטהר אוויר300 סמ''ק- MSDS</v>
      </c>
      <c r="C1205" s="7">
        <v>3.5295000000000001</v>
      </c>
      <c r="D1205" s="2"/>
    </row>
    <row r="1206" spans="1:4" x14ac:dyDescent="0.2">
      <c r="A1206" s="2">
        <v>1203</v>
      </c>
      <c r="B1206" s="2" t="str">
        <f>"נוזל לניקוי אסלות 1 ליטר חומר555 MSDS"</f>
        <v>נוזל לניקוי אסלות 1 ליטר חומר555 MSDS</v>
      </c>
      <c r="C1206" s="7">
        <v>4.3440000000000003</v>
      </c>
      <c r="D1206" s="2"/>
    </row>
    <row r="1207" spans="1:4" x14ac:dyDescent="0.2">
      <c r="A1207" s="2">
        <v>1204</v>
      </c>
      <c r="B1207" s="2" t="str">
        <f>"סוכרזית אבקה 1000 יח' באריזה"</f>
        <v>סוכרזית אבקה 1000 יח' באריזה</v>
      </c>
      <c r="C1207" s="7">
        <v>16.7425</v>
      </c>
      <c r="D1207" s="2"/>
    </row>
    <row r="1208" spans="1:4" x14ac:dyDescent="0.2">
      <c r="A1208" s="2">
        <v>1205</v>
      </c>
      <c r="B1208" s="2" t="str">
        <f>"מקלות רופא צבעוני 200גר'(חבילה)"</f>
        <v>מקלות רופא צבעוני 200גר'(חבילה)</v>
      </c>
      <c r="C1208" s="7">
        <v>4.3440000000000003</v>
      </c>
      <c r="D1208" s="2"/>
    </row>
    <row r="1209" spans="1:4" x14ac:dyDescent="0.2">
      <c r="A1209" s="2">
        <v>1206</v>
      </c>
      <c r="B1209" s="2" t="str">
        <f>"כוס שתיה מעוצבת 180 מל (שרוול 100 יח )"</f>
        <v>כוס שתיה מעוצבת 180 מל (שרוול 100 יח )</v>
      </c>
      <c r="C1209" s="7">
        <v>7.0590000000000002</v>
      </c>
      <c r="D1209" s="2"/>
    </row>
    <row r="1210" spans="1:4" x14ac:dyDescent="0.2">
      <c r="A1210" s="2">
        <v>1207</v>
      </c>
      <c r="B1210" s="2" t="str">
        <f>"כוס אספרסו120 מ''ל (100 יחי ')"</f>
        <v>כוס אספרסו120 מ''ל (100 יחי ')</v>
      </c>
      <c r="C1210" s="7">
        <v>8.1449999999999996</v>
      </c>
      <c r="D1210" s="2"/>
    </row>
    <row r="1211" spans="1:4" x14ac:dyDescent="0.2">
      <c r="A1211" s="2">
        <v>1208</v>
      </c>
      <c r="B1211" s="2" t="str">
        <f>"מגבונים לחים )אריזה של 5 יחא("</f>
        <v>מגבונים לחים )אריזה של 5 יחא(</v>
      </c>
      <c r="C1211" s="7">
        <v>12.217500000000001</v>
      </c>
      <c r="D1211" s="2"/>
    </row>
    <row r="1212" spans="1:4" x14ac:dyDescent="0.2">
      <c r="A1212" s="2">
        <v>1209</v>
      </c>
      <c r="B1212" s="2" t="str">
        <f>"תה צמחים קמומיל ודבש"</f>
        <v>תה צמחים קמומיל ודבש</v>
      </c>
      <c r="C1212" s="7">
        <v>12.579500000000001</v>
      </c>
      <c r="D1212" s="2"/>
    </row>
    <row r="1213" spans="1:4" x14ac:dyDescent="0.2">
      <c r="A1213" s="2">
        <v>1210</v>
      </c>
      <c r="B1213" s="2" t="str">
        <f>"תה צמחים לימונענע10023141"</f>
        <v>תה צמחים לימונענע10023141</v>
      </c>
      <c r="C1213" s="7">
        <v>12.579500000000001</v>
      </c>
      <c r="D1213" s="2"/>
    </row>
    <row r="1214" spans="1:4" x14ac:dyDescent="0.2">
      <c r="A1214" s="2">
        <v>1211</v>
      </c>
      <c r="B1214" s="2" t="str">
        <f>"אשפתון שחור בגליל 75*85 LDעובי 30מיקרון 25יח '"</f>
        <v>אשפתון שחור בגליל 75*85 LDעובי 30מיקרון 25יח '</v>
      </c>
      <c r="C1214" s="7">
        <v>8.5975000000000001</v>
      </c>
      <c r="D1214" s="2"/>
    </row>
    <row r="1215" spans="1:4" x14ac:dyDescent="0.2">
      <c r="A1215" s="2">
        <v>1212</v>
      </c>
      <c r="B1215" s="2" t="str">
        <f>"כוס שתייה מעוצבת נייר 310 סמ""ק 1/50"</f>
        <v>כוס שתייה מעוצבת נייר 310 סמ"ק 1/50</v>
      </c>
      <c r="C1215" s="7">
        <v>6.5612500000000002</v>
      </c>
      <c r="D1215" s="2"/>
    </row>
    <row r="1216" spans="1:4" x14ac:dyDescent="0.2">
      <c r="A1216" s="2">
        <v>1213</v>
      </c>
      <c r="B1216" s="2" t="str">
        <f>"לוח מודעות שעם 60*80 מסגרת אלומיניום"</f>
        <v>לוח מודעות שעם 60*80 מסגרת אלומיניום</v>
      </c>
      <c r="C1216" s="7">
        <v>20.815000000000001</v>
      </c>
      <c r="D1216" s="2"/>
    </row>
    <row r="1217" spans="1:4" x14ac:dyDescent="0.2">
      <c r="A1217" s="2">
        <v>1214</v>
      </c>
      <c r="B1217" s="2" t="str">
        <f>"לוח מודעות שעם 80*120 מסגרת אלומיניום"</f>
        <v>לוח מודעות שעם 80*120 מסגרת אלומיניום</v>
      </c>
      <c r="C1217" s="7">
        <v>44.344999999999999</v>
      </c>
      <c r="D1217" s="2"/>
    </row>
    <row r="1218" spans="1:4" x14ac:dyDescent="0.2">
      <c r="A1218" s="2">
        <v>1215</v>
      </c>
      <c r="B1218" s="2" t="str">
        <f>"לוח מודעות שעם 60*100 מסגרת אלומיניום"</f>
        <v>לוח מודעות שעם 60*100 מסגרת אלומיניום</v>
      </c>
      <c r="C1218" s="7">
        <v>40.634500000000003</v>
      </c>
      <c r="D1218" s="2"/>
    </row>
    <row r="1219" spans="1:4" x14ac:dyDescent="0.2">
      <c r="A1219" s="2">
        <v>1216</v>
      </c>
      <c r="B1219" s="2" t="str">
        <f>"דיספנסר לסבון קצף 400 מ""ל"</f>
        <v>דיספנסר לסבון קצף 400 מ"ל</v>
      </c>
      <c r="C1219" s="7">
        <v>36.109499999999997</v>
      </c>
      <c r="D1219" s="2"/>
    </row>
    <row r="1220" spans="1:4" x14ac:dyDescent="0.2">
      <c r="A1220" s="2">
        <v>1217</v>
      </c>
      <c r="B1220" s="2" t="str">
        <f>"נייר טואלט גמבו קרפ 250 מ'280 - 1/12"</f>
        <v>נייר טואלט גמבו קרפ 250 מ'280 - 1/12</v>
      </c>
      <c r="C1220" s="7">
        <v>49.774999999999999</v>
      </c>
      <c r="D1220" s="2"/>
    </row>
    <row r="1221" spans="1:4" x14ac:dyDescent="0.2">
      <c r="A1221" s="2">
        <v>1218</v>
      </c>
      <c r="B1221" s="2" t="str">
        <f>"מתקן לנייר טואלט צץ רץ שבת4596"</f>
        <v>מתקן לנייר טואלט צץ רץ שבת4596</v>
      </c>
      <c r="C1221" s="7">
        <v>36.200000000000003</v>
      </c>
      <c r="D1221" s="2"/>
    </row>
    <row r="1222" spans="1:4" x14ac:dyDescent="0.2">
      <c r="A1222" s="2">
        <v>1219</v>
      </c>
      <c r="B1222" s="2" t="str">
        <f>"נייר טואלט ג'מבו 1/12 טישו 150 מ' -26901"</f>
        <v>נייר טואלט ג'מבו 1/12 טישו 150 מ' -26901</v>
      </c>
      <c r="C1222" s="7">
        <v>49.774999999999999</v>
      </c>
      <c r="D1222" s="2"/>
    </row>
    <row r="1223" spans="1:4" x14ac:dyDescent="0.2">
      <c r="A1223" s="2">
        <v>1220</v>
      </c>
      <c r="B1223" s="2" t="str">
        <f>"כפפות ויניל ללא אבקה כחול 100 יח' M"</f>
        <v>כפפות ויניל ללא אבקה כחול 100 יח' M</v>
      </c>
      <c r="C1223" s="7">
        <v>9.9550000000000001</v>
      </c>
      <c r="D1223" s="2"/>
    </row>
    <row r="1224" spans="1:4" x14ac:dyDescent="0.2">
      <c r="A1224" s="2">
        <v>1221</v>
      </c>
      <c r="B1224" s="2" t="str">
        <f>"מגב פלסטי לשיש"</f>
        <v>מגב פלסטי לשיש</v>
      </c>
      <c r="C1224" s="7">
        <v>2.8960000000000004</v>
      </c>
      <c r="D1224" s="2"/>
    </row>
    <row r="1225" spans="1:4" x14ac:dyDescent="0.2">
      <c r="A1225" s="2">
        <v>1222</v>
      </c>
      <c r="B1225" s="2" t="str">
        <f>"כפפות ויניל ללא אבקה כחול 100 יח' L"</f>
        <v>כפפות ויניל ללא אבקה כחול 100 יח' L</v>
      </c>
      <c r="C1225" s="7">
        <v>9.9550000000000001</v>
      </c>
      <c r="D1225" s="2"/>
    </row>
    <row r="1226" spans="1:4" x14ac:dyDescent="0.2">
      <c r="A1226" s="2">
        <v>1223</v>
      </c>
      <c r="B1226" s="2" t="str">
        <f>"מתקן שקוף לנייר ניגוב ידיים בגליל דגם 7738"</f>
        <v>מתקן שקוף לנייר ניגוב ידיים בגליל דגם 7738</v>
      </c>
      <c r="C1226" s="7">
        <v>49.774999999999999</v>
      </c>
      <c r="D1226" s="2"/>
    </row>
    <row r="1227" spans="1:4" x14ac:dyDescent="0.2">
      <c r="A1227" s="2">
        <v>1224</v>
      </c>
      <c r="B1227" s="2" t="str">
        <f>"אשפתון  שחור בגליל 75*90 עובי 12 מיקרון -50   יח"</f>
        <v>אשפתון  שחור בגליל 75*90 עובי 12 מיקרון -50   יח</v>
      </c>
      <c r="C1227" s="7">
        <v>8.5975000000000001</v>
      </c>
      <c r="D1227" s="2"/>
    </row>
    <row r="1228" spans="1:4" x14ac:dyDescent="0.2">
      <c r="A1228" s="2">
        <v>1225</v>
      </c>
      <c r="B1228" s="2" t="str">
        <f>"אשפתון לבן בגליל 50*70 עובי 20 מיקרון -50  יח'"</f>
        <v>אשפתון לבן בגליל 50*70 עובי 20 מיקרון -50  יח'</v>
      </c>
      <c r="C1228" s="7">
        <v>5.7015000000000002</v>
      </c>
      <c r="D1228" s="2"/>
    </row>
    <row r="1229" spans="1:4" x14ac:dyDescent="0.2">
      <c r="A1229" s="2">
        <v>1226</v>
      </c>
      <c r="B1229" s="2" t="str">
        <f>"מסיר שומנים במתז 750 סמ''קECO G   -  MSDS"</f>
        <v>מסיר שומנים במתז 750 סמ''קECO G   -  MSDS</v>
      </c>
      <c r="C1229" s="7">
        <v>7.8734999999999999</v>
      </c>
      <c r="D1229" s="2"/>
    </row>
    <row r="1230" spans="1:4" x14ac:dyDescent="0.2">
      <c r="A1230" s="2">
        <v>1227</v>
      </c>
      <c r="B1230" s="2" t="str">
        <f>"תרסיס לניקוי נירוסטה 400 סמ""ק -MSDS"</f>
        <v>תרסיס לניקוי נירוסטה 400 סמ"ק -MSDS</v>
      </c>
      <c r="C1230" s="7">
        <v>9.9550000000000001</v>
      </c>
      <c r="D1230" s="2"/>
    </row>
    <row r="1231" spans="1:4" x14ac:dyDescent="0.2">
      <c r="A1231" s="2">
        <v>1228</v>
      </c>
      <c r="B1231" s="2" t="str">
        <f>"פח דוושה 30 ליטר - לבן 43*40.5*41"</f>
        <v>פח דוושה 30 ליטר - לבן 43*40.5*41</v>
      </c>
      <c r="C1231" s="7">
        <v>80.545000000000002</v>
      </c>
      <c r="D1231" s="2"/>
    </row>
    <row r="1232" spans="1:4" x14ac:dyDescent="0.2">
      <c r="A1232" s="2">
        <v>1229</v>
      </c>
      <c r="B1232" s="2" t="str">
        <f>"פח דוושה 45 ליטר - לבן 60*40*42"</f>
        <v>פח דוושה 45 ליטר - לבן 60*40*42</v>
      </c>
      <c r="C1232" s="7">
        <v>83.26</v>
      </c>
      <c r="D1232" s="2"/>
    </row>
    <row r="1233" spans="1:4" x14ac:dyDescent="0.2">
      <c r="A1233" s="2">
        <v>1230</v>
      </c>
      <c r="B1233" s="2" t="str">
        <f>"כוס חד פעמית ליין על רגל 50 סמ""ק 12 )  יח'("</f>
        <v>כוס חד פעמית ליין על רגל 50 סמ"ק 12 )  יח'(</v>
      </c>
      <c r="C1233" s="7">
        <v>7.1495000000000006</v>
      </c>
      <c r="D1233" s="2"/>
    </row>
    <row r="1234" spans="1:4" x14ac:dyDescent="0.2">
      <c r="A1234" s="2">
        <v>1231</v>
      </c>
      <c r="B1234" s="2" t="str">
        <f>"סט 8 טוש סימון ארטי  ראש שטוח"</f>
        <v>סט 8 טוש סימון ארטי  ראש שטוח</v>
      </c>
      <c r="C1234" s="7">
        <v>13.484500000000001</v>
      </c>
      <c r="D1234" s="2"/>
    </row>
    <row r="1235" spans="1:4" x14ac:dyDescent="0.2">
      <c r="A1235" s="2">
        <v>1232</v>
      </c>
      <c r="B1235" s="2" t="str">
        <f>"סט 12 טושים צבעונייםMILAN"</f>
        <v>סט 12 טושים צבעונייםMILAN</v>
      </c>
      <c r="C1235" s="7">
        <v>5.8825000000000003</v>
      </c>
      <c r="D1235" s="2"/>
    </row>
    <row r="1236" spans="1:4" x14ac:dyDescent="0.2">
      <c r="A1236" s="2">
        <v>1233</v>
      </c>
      <c r="B1236" s="2" t="str">
        <f>"סט צבעי פסטל ארטי12X"</f>
        <v>סט צבעי פסטל ארטי12X</v>
      </c>
      <c r="C1236" s="7">
        <v>2.4435000000000002</v>
      </c>
      <c r="D1236" s="2"/>
    </row>
    <row r="1237" spans="1:4" x14ac:dyDescent="0.2">
      <c r="A1237" s="2">
        <v>1234</v>
      </c>
      <c r="B1237" s="2" t="str">
        <f>"סט 24עפרונות צבעוניים -ארטי"</f>
        <v>סט 24עפרונות צבעוניים -ארטי</v>
      </c>
      <c r="C1237" s="7">
        <v>7.1495000000000006</v>
      </c>
      <c r="D1237" s="2"/>
    </row>
    <row r="1238" spans="1:4" x14ac:dyDescent="0.2">
      <c r="A1238" s="2">
        <v>1235</v>
      </c>
      <c r="B1238" s="2" t="str">
        <f>"דיספנסר+סלוטייפ-ארטי"</f>
        <v>דיספנסר+סלוטייפ-ארטי</v>
      </c>
      <c r="C1238" s="7">
        <v>4.0724999999999998</v>
      </c>
      <c r="D1238" s="2"/>
    </row>
    <row r="1239" spans="1:4" x14ac:dyDescent="0.2">
      <c r="A1239" s="2">
        <v>1236</v>
      </c>
      <c r="B1239" s="2" t="str">
        <f>"סכין יפני מתכת רחב -ארטי"</f>
        <v>סכין יפני מתכת רחב -ארטי</v>
      </c>
      <c r="C1239" s="7">
        <v>14.3895</v>
      </c>
      <c r="D1239" s="2"/>
    </row>
    <row r="1240" spans="1:4" x14ac:dyDescent="0.2">
      <c r="A1240" s="2">
        <v>1237</v>
      </c>
      <c r="B1240" s="2" t="str">
        <f>"סט 36 עפרונות צבעוניים- פנטל"</f>
        <v>סט 36 עפרונות צבעוניים- פנטל</v>
      </c>
      <c r="C1240" s="7">
        <v>20.724499999999999</v>
      </c>
      <c r="D1240" s="2"/>
    </row>
    <row r="1241" spans="1:4" x14ac:dyDescent="0.2">
      <c r="A1241" s="2">
        <v>1238</v>
      </c>
      <c r="B1241" s="2" t="str">
        <f>"סט טושים פליקן*12  על בסיס מים"</f>
        <v>סט טושים פליקן*12  על בסיס מים</v>
      </c>
      <c r="C1241" s="7">
        <v>6.5974500000000003</v>
      </c>
      <c r="D1241" s="2"/>
    </row>
    <row r="1242" spans="1:4" x14ac:dyDescent="0.2">
      <c r="A1242" s="2">
        <v>1239</v>
      </c>
      <c r="B1242" s="2" t="str">
        <f>"פלסטלינה צבעונית- 400 גרם - שחור*"</f>
        <v>פלסטלינה צבעונית- 400 גרם - שחור*</v>
      </c>
      <c r="C1242" s="7">
        <v>4.2444500000000005</v>
      </c>
      <c r="D1242" s="2"/>
    </row>
    <row r="1243" spans="1:4" x14ac:dyDescent="0.2">
      <c r="A1243" s="2">
        <v>1240</v>
      </c>
      <c r="B1243" s="2" t="str">
        <f>"פלסטלינה צבעונית -400  גרם - כחול"</f>
        <v>פלסטלינה צבעונית -400  גרם - כחול</v>
      </c>
      <c r="C1243" s="7">
        <v>4.2444500000000005</v>
      </c>
      <c r="D1243" s="2"/>
    </row>
    <row r="1244" spans="1:4" x14ac:dyDescent="0.2">
      <c r="A1244" s="2">
        <v>1241</v>
      </c>
      <c r="B1244" s="2" t="str">
        <f>"פלסטלינה צבעונית- 400 גרם - אדום"</f>
        <v>פלסטלינה צבעונית- 400 גרם - אדום</v>
      </c>
      <c r="C1244" s="7">
        <v>4.2444500000000005</v>
      </c>
      <c r="D1244" s="2"/>
    </row>
    <row r="1245" spans="1:4" x14ac:dyDescent="0.2">
      <c r="A1245" s="2">
        <v>1242</v>
      </c>
      <c r="B1245" s="2" t="str">
        <f>"פלסטלינה צבעונית- 400 גרם - ירוק"</f>
        <v>פלסטלינה צבעונית- 400 גרם - ירוק</v>
      </c>
      <c r="C1245" s="7">
        <v>4.2444500000000005</v>
      </c>
      <c r="D1245" s="2"/>
    </row>
    <row r="1246" spans="1:4" x14ac:dyDescent="0.2">
      <c r="A1246" s="2">
        <v>1243</v>
      </c>
      <c r="B1246" s="2" t="str">
        <f>"פלסטלינה צבעונית- 400 גרם - צהוב"</f>
        <v>פלסטלינה צבעונית- 400 גרם - צהוב</v>
      </c>
      <c r="C1246" s="7">
        <v>4.2444500000000005</v>
      </c>
      <c r="D1246" s="2"/>
    </row>
    <row r="1247" spans="1:4" x14ac:dyDescent="0.2">
      <c r="A1247" s="2">
        <v>1244</v>
      </c>
      <c r="B1247" s="2" t="str">
        <f>"פלסטלינה צבעונית- 400 גרם - חום"</f>
        <v>פלסטלינה צבעונית- 400 גרם - חום</v>
      </c>
      <c r="C1247" s="7">
        <v>4.2444500000000005</v>
      </c>
      <c r="D1247" s="2"/>
    </row>
    <row r="1248" spans="1:4" x14ac:dyDescent="0.2">
      <c r="A1248" s="2">
        <v>1245</v>
      </c>
      <c r="B1248" s="2" t="str">
        <f>"פלסטלינה צבעונית- 400 גרם - כתום"</f>
        <v>פלסטלינה צבעונית- 400 גרם - כתום</v>
      </c>
      <c r="C1248" s="7">
        <v>4.2444500000000005</v>
      </c>
      <c r="D1248" s="2"/>
    </row>
    <row r="1249" spans="1:4" x14ac:dyDescent="0.2">
      <c r="A1249" s="2">
        <v>1246</v>
      </c>
      <c r="B1249" s="2" t="str">
        <f>"פלסטלינה צבעונית- 400 גרם - סגול"</f>
        <v>פלסטלינה צבעונית- 400 גרם - סגול</v>
      </c>
      <c r="C1249" s="7">
        <v>4.2444500000000005</v>
      </c>
      <c r="D1249" s="2"/>
    </row>
    <row r="1250" spans="1:4" x14ac:dyDescent="0.2">
      <c r="A1250" s="2">
        <v>1247</v>
      </c>
      <c r="B1250" s="2" t="str">
        <f>"פלסטלינה צבעונית -400  גרם - לבן"</f>
        <v>פלסטלינה צבעונית -400  גרם - לבן</v>
      </c>
      <c r="C1250" s="7">
        <v>4.2444500000000005</v>
      </c>
      <c r="D1250" s="2"/>
    </row>
    <row r="1251" spans="1:4" x14ac:dyDescent="0.2">
      <c r="A1251" s="2">
        <v>1248</v>
      </c>
      <c r="B1251" s="2" t="str">
        <f>"בצק בדלי זוהר 200 גר'9 )  יח'("</f>
        <v>בצק בדלי זוהר 200 גר'9 )  יח'(</v>
      </c>
      <c r="C1251" s="7">
        <v>15.8375</v>
      </c>
      <c r="D1251" s="2"/>
    </row>
    <row r="1252" spans="1:4" x14ac:dyDescent="0.2">
      <c r="A1252" s="2">
        <v>1249</v>
      </c>
      <c r="B1252" s="2" t="str">
        <f>"לוח פוליגל 80*125 ס""מ - תכלת"</f>
        <v>לוח פוליגל 80*125 ס"מ - תכלת</v>
      </c>
      <c r="C1252" s="7">
        <v>6.6064999999999996</v>
      </c>
      <c r="D1252" s="2"/>
    </row>
    <row r="1253" spans="1:4" x14ac:dyDescent="0.2">
      <c r="A1253" s="2">
        <v>1250</v>
      </c>
      <c r="B1253" s="2" t="str">
        <f>"גיליון קאפה 5מ""מ ( (70X100"</f>
        <v>גיליון קאפה 5מ"מ ( (70X100</v>
      </c>
      <c r="C1253" s="7">
        <v>10.135999999999999</v>
      </c>
      <c r="D1253" s="2"/>
    </row>
    <row r="1254" spans="1:4" x14ac:dyDescent="0.2">
      <c r="A1254" s="2">
        <v>1251</v>
      </c>
      <c r="B1254" s="2" t="str">
        <f>"גיליון קאפה 10מ""מ (70X100)"</f>
        <v>גיליון קאפה 10מ"מ (70X100)</v>
      </c>
      <c r="C1254" s="7">
        <v>16.7425</v>
      </c>
      <c r="D1254" s="2"/>
    </row>
    <row r="1255" spans="1:4" x14ac:dyDescent="0.2">
      <c r="A1255" s="2">
        <v>1252</v>
      </c>
      <c r="B1255" s="2" t="str">
        <f>"צבע גואש 500 מ""ל - לבן"</f>
        <v>צבע גואש 500 מ"ל - לבן</v>
      </c>
      <c r="C1255" s="7">
        <v>4.3440000000000003</v>
      </c>
      <c r="D1255" s="2"/>
    </row>
    <row r="1256" spans="1:4" x14ac:dyDescent="0.2">
      <c r="A1256" s="2">
        <v>1253</v>
      </c>
      <c r="B1256" s="2" t="str">
        <f>"צבע גואש 500 מ""ל - שחור*"</f>
        <v>צבע גואש 500 מ"ל - שחור*</v>
      </c>
      <c r="C1256" s="7">
        <v>4.3440000000000003</v>
      </c>
      <c r="D1256" s="2"/>
    </row>
    <row r="1257" spans="1:4" x14ac:dyDescent="0.2">
      <c r="A1257" s="2">
        <v>1254</v>
      </c>
      <c r="B1257" s="2" t="str">
        <f>"צבע גואש500 מ''ל - אדום"</f>
        <v>צבע גואש500 מ''ל - אדום</v>
      </c>
      <c r="C1257" s="7">
        <v>4.3440000000000003</v>
      </c>
      <c r="D1257" s="2"/>
    </row>
    <row r="1258" spans="1:4" x14ac:dyDescent="0.2">
      <c r="A1258" s="2">
        <v>1255</v>
      </c>
      <c r="B1258" s="2" t="str">
        <f>"צבע גואש 500 מ""ל - כחול"</f>
        <v>צבע גואש 500 מ"ל - כחול</v>
      </c>
      <c r="C1258" s="7">
        <v>4.3440000000000003</v>
      </c>
      <c r="D1258" s="2"/>
    </row>
    <row r="1259" spans="1:4" x14ac:dyDescent="0.2">
      <c r="A1259" s="2">
        <v>1256</v>
      </c>
      <c r="B1259" s="2" t="str">
        <f>"צבע גואש 500 מ""ל - צהוב"</f>
        <v>צבע גואש 500 מ"ל - צהוב</v>
      </c>
      <c r="C1259" s="7">
        <v>4.3440000000000003</v>
      </c>
      <c r="D1259" s="2"/>
    </row>
    <row r="1260" spans="1:4" x14ac:dyDescent="0.2">
      <c r="A1260" s="2">
        <v>1257</v>
      </c>
      <c r="B1260" s="2" t="str">
        <f>"צבע גואש500 מ''ל - ירוק כהה"</f>
        <v>צבע גואש500 מ''ל - ירוק כהה</v>
      </c>
      <c r="C1260" s="7">
        <v>4.3440000000000003</v>
      </c>
      <c r="D1260" s="2"/>
    </row>
    <row r="1261" spans="1:4" x14ac:dyDescent="0.2">
      <c r="A1261" s="2">
        <v>1258</v>
      </c>
      <c r="B1261" s="2" t="str">
        <f>"צבע גואש500 מ''ל - ירוק בהיר"</f>
        <v>צבע גואש500 מ''ל - ירוק בהיר</v>
      </c>
      <c r="C1261" s="7">
        <v>4.3440000000000003</v>
      </c>
      <c r="D1261" s="2"/>
    </row>
    <row r="1262" spans="1:4" x14ac:dyDescent="0.2">
      <c r="A1262" s="2">
        <v>1259</v>
      </c>
      <c r="B1262" s="2" t="str">
        <f>"צבע גואש 500 מ""ל - חום"</f>
        <v>צבע גואש 500 מ"ל - חום</v>
      </c>
      <c r="C1262" s="7">
        <v>4.3440000000000003</v>
      </c>
      <c r="D1262" s="2"/>
    </row>
    <row r="1263" spans="1:4" x14ac:dyDescent="0.2">
      <c r="A1263" s="2">
        <v>1260</v>
      </c>
      <c r="B1263" s="2" t="str">
        <f>"צבע גואש500 מ''ל - טורקיז"</f>
        <v>צבע גואש500 מ''ל - טורקיז</v>
      </c>
      <c r="C1263" s="7">
        <v>4.3440000000000003</v>
      </c>
      <c r="D1263" s="2"/>
    </row>
    <row r="1264" spans="1:4" x14ac:dyDescent="0.2">
      <c r="A1264" s="2">
        <v>1261</v>
      </c>
      <c r="B1264" s="2" t="str">
        <f>"צבע גואש500 מ''ל - תכלת"</f>
        <v>צבע גואש500 מ''ל - תכלת</v>
      </c>
      <c r="C1264" s="7">
        <v>4.3440000000000003</v>
      </c>
      <c r="D1264" s="2"/>
    </row>
    <row r="1265" spans="1:4" x14ac:dyDescent="0.2">
      <c r="A1265" s="2">
        <v>1262</v>
      </c>
      <c r="B1265" s="2" t="str">
        <f>"צבע גואש500 מ''ל - סגול"</f>
        <v>צבע גואש500 מ''ל - סגול</v>
      </c>
      <c r="C1265" s="7">
        <v>4.3440000000000003</v>
      </c>
      <c r="D1265" s="2"/>
    </row>
    <row r="1266" spans="1:4" x14ac:dyDescent="0.2">
      <c r="A1266" s="2">
        <v>1263</v>
      </c>
      <c r="B1266" s="2" t="str">
        <f>"צבע גואש 500 מ""ל - ורוד"</f>
        <v>צבע גואש 500 מ"ל - ורוד</v>
      </c>
      <c r="C1266" s="7">
        <v>4.3440000000000003</v>
      </c>
      <c r="D1266" s="2"/>
    </row>
    <row r="1267" spans="1:4" x14ac:dyDescent="0.2">
      <c r="A1267" s="2">
        <v>1264</v>
      </c>
      <c r="B1267" s="2" t="str">
        <f>"צבע גואש 500 מ""ל - כתום"</f>
        <v>צבע גואש 500 מ"ל - כתום</v>
      </c>
      <c r="C1267" s="7">
        <v>4.3440000000000003</v>
      </c>
      <c r="D1267" s="2"/>
    </row>
    <row r="1268" spans="1:4" x14ac:dyDescent="0.2">
      <c r="A1268" s="2">
        <v>1265</v>
      </c>
      <c r="B1268" s="2" t="str">
        <f>"צבע גואש 500 מ""ל - בורדו"</f>
        <v>צבע גואש 500 מ"ל - בורדו</v>
      </c>
      <c r="C1268" s="7">
        <v>4.3440000000000003</v>
      </c>
      <c r="D1268" s="2"/>
    </row>
    <row r="1269" spans="1:4" x14ac:dyDescent="0.2">
      <c r="A1269" s="2">
        <v>1266</v>
      </c>
      <c r="B1269" s="2" t="str">
        <f>"צבע ידיים 440 גרם - שחור*"</f>
        <v>צבע ידיים 440 גרם - שחור*</v>
      </c>
      <c r="C1269" s="7">
        <v>7.6924999999999999</v>
      </c>
      <c r="D1269" s="2"/>
    </row>
    <row r="1270" spans="1:4" x14ac:dyDescent="0.2">
      <c r="A1270" s="2">
        <v>1267</v>
      </c>
      <c r="B1270" s="2" t="str">
        <f>"צבע ידיים 440 גרם - כחול"</f>
        <v>צבע ידיים 440 גרם - כחול</v>
      </c>
      <c r="C1270" s="7">
        <v>7.6924999999999999</v>
      </c>
      <c r="D1270" s="2"/>
    </row>
    <row r="1271" spans="1:4" x14ac:dyDescent="0.2">
      <c r="A1271" s="2">
        <v>1268</v>
      </c>
      <c r="B1271" s="2" t="str">
        <f>"צבע ידיים 440 גרם - אדום"</f>
        <v>צבע ידיים 440 גרם - אדום</v>
      </c>
      <c r="C1271" s="7">
        <v>7.6924999999999999</v>
      </c>
      <c r="D1271" s="2"/>
    </row>
    <row r="1272" spans="1:4" x14ac:dyDescent="0.2">
      <c r="A1272" s="2">
        <v>1269</v>
      </c>
      <c r="B1272" s="2" t="str">
        <f>"צבע ידיים 440 גרם - ירוק"</f>
        <v>צבע ידיים 440 גרם - ירוק</v>
      </c>
      <c r="C1272" s="7">
        <v>7.6924999999999999</v>
      </c>
      <c r="D1272" s="2"/>
    </row>
    <row r="1273" spans="1:4" x14ac:dyDescent="0.2">
      <c r="A1273" s="2">
        <v>1270</v>
      </c>
      <c r="B1273" s="2" t="str">
        <f>"צבע ידיים440 גרם - צהוב"</f>
        <v>צבע ידיים440 גרם - צהוב</v>
      </c>
      <c r="C1273" s="7">
        <v>7.6924999999999999</v>
      </c>
      <c r="D1273" s="2"/>
    </row>
    <row r="1274" spans="1:4" x14ac:dyDescent="0.2">
      <c r="A1274" s="2">
        <v>1271</v>
      </c>
      <c r="B1274" s="2" t="str">
        <f>"צבע ידיים 440 גרם - חום"</f>
        <v>צבע ידיים 440 גרם - חום</v>
      </c>
      <c r="C1274" s="7">
        <v>7.6924999999999999</v>
      </c>
      <c r="D1274" s="2"/>
    </row>
    <row r="1275" spans="1:4" x14ac:dyDescent="0.2">
      <c r="A1275" s="2">
        <v>1272</v>
      </c>
      <c r="B1275" s="2" t="str">
        <f>"צבע ידיים 440 גרם - כתום"</f>
        <v>צבע ידיים 440 גרם - כתום</v>
      </c>
      <c r="C1275" s="7">
        <v>7.6924999999999999</v>
      </c>
      <c r="D1275" s="2"/>
    </row>
    <row r="1276" spans="1:4" x14ac:dyDescent="0.2">
      <c r="A1276" s="2">
        <v>1273</v>
      </c>
      <c r="B1276" s="2" t="str">
        <f>"צבע ידיים 440 גרם - סגול"</f>
        <v>צבע ידיים 440 גרם - סגול</v>
      </c>
      <c r="C1276" s="7">
        <v>7.6924999999999999</v>
      </c>
      <c r="D1276" s="2"/>
    </row>
    <row r="1277" spans="1:4" x14ac:dyDescent="0.2">
      <c r="A1277" s="2">
        <v>1274</v>
      </c>
      <c r="B1277" s="2" t="str">
        <f>"צבע ידיים 440 גרם - לבן"</f>
        <v>צבע ידיים 440 גרם - לבן</v>
      </c>
      <c r="C1277" s="7">
        <v>7.6924999999999999</v>
      </c>
      <c r="D1277" s="2"/>
    </row>
    <row r="1278" spans="1:4" x14ac:dyDescent="0.2">
      <c r="A1278" s="2">
        <v>1275</v>
      </c>
      <c r="B1278" s="2" t="str">
        <f>"בצק8 צבעים"</f>
        <v>בצק8 צבעים</v>
      </c>
      <c r="C1278" s="7">
        <v>10.30795</v>
      </c>
      <c r="D1278" s="2"/>
    </row>
    <row r="1279" spans="1:4" x14ac:dyDescent="0.2">
      <c r="A1279" s="2">
        <v>1276</v>
      </c>
      <c r="B1279" s="2" t="str">
        <f>"דאס 2/1ק""ג-לבן"</f>
        <v>דאס 2/1ק"ג-לבן</v>
      </c>
      <c r="C1279" s="7">
        <v>6.7875000000000005</v>
      </c>
      <c r="D1279" s="2"/>
    </row>
    <row r="1280" spans="1:4" x14ac:dyDescent="0.2">
      <c r="A1280" s="2">
        <v>1277</v>
      </c>
      <c r="B1280" s="2" t="str">
        <f>"דאס 1ק""ג-לבן"</f>
        <v>דאס 1ק"ג-לבן</v>
      </c>
      <c r="C1280" s="7">
        <v>20.271999999999998</v>
      </c>
      <c r="D1280" s="2"/>
    </row>
    <row r="1281" spans="1:4" x14ac:dyDescent="0.2">
      <c r="A1281" s="2">
        <v>1278</v>
      </c>
      <c r="B1281" s="2" t="str">
        <f>"דאס 1ק""ג-חום"</f>
        <v>דאס 1ק"ג-חום</v>
      </c>
      <c r="C1281" s="7">
        <v>20.271999999999998</v>
      </c>
      <c r="D1281" s="2"/>
    </row>
    <row r="1282" spans="1:4" x14ac:dyDescent="0.2">
      <c r="A1282" s="2">
        <v>1279</v>
      </c>
      <c r="B1282" s="2" t="str">
        <f>"צבע גואש500 מ''ל -קרטון מעורב (15 יח ')"</f>
        <v>צבע גואש500 מ''ל -קרטון מעורב (15 יח ')</v>
      </c>
      <c r="C1282" s="7">
        <v>56.5625</v>
      </c>
      <c r="D1282" s="2"/>
    </row>
    <row r="1283" spans="1:4" x14ac:dyDescent="0.2">
      <c r="A1283" s="2">
        <v>1280</v>
      </c>
      <c r="B1283" s="2" t="str">
        <f>"נייר קרפ צבעוני מעורב *סט 10"</f>
        <v>נייר קרפ צבעוני מעורב *סט 10</v>
      </c>
      <c r="C1283" s="7">
        <v>4.2535000000000007</v>
      </c>
      <c r="D1283" s="2"/>
    </row>
    <row r="1284" spans="1:4" x14ac:dyDescent="0.2">
      <c r="A1284" s="2">
        <v>1281</v>
      </c>
      <c r="B1284" s="2" t="str">
        <f>"פסטל שמן עבה אומגה 24יח'"</f>
        <v>פסטל שמן עבה אומגה 24יח'</v>
      </c>
      <c r="C1284" s="7">
        <v>8.9595000000000002</v>
      </c>
      <c r="D1284" s="2"/>
    </row>
    <row r="1285" spans="1:4" x14ac:dyDescent="0.2">
      <c r="A1285" s="2">
        <v>1282</v>
      </c>
      <c r="B1285" s="2" t="str">
        <f>"סט צבעי פסטל שמן עבה אומגה 12יח'"</f>
        <v>סט צבעי פסטל שמן עבה אומגה 12יח'</v>
      </c>
      <c r="C1285" s="7">
        <v>4.7060000000000004</v>
      </c>
      <c r="D1285" s="2"/>
    </row>
    <row r="1286" spans="1:4" x14ac:dyDescent="0.2">
      <c r="A1286" s="2">
        <v>1283</v>
      </c>
      <c r="B1286" s="2" t="str">
        <f>"פחם סינטטי שחור 12יח' - אומגה"</f>
        <v>פחם סינטטי שחור 12יח' - אומגה</v>
      </c>
      <c r="C1286" s="7">
        <v>15.8375</v>
      </c>
      <c r="D1286" s="2"/>
    </row>
    <row r="1287" spans="1:4" x14ac:dyDescent="0.2">
      <c r="A1287" s="2">
        <v>1284</v>
      </c>
      <c r="B1287" s="2" t="str">
        <f>"פחם סינטטי אפור 12יח' - אומגה"</f>
        <v>פחם סינטטי אפור 12יח' - אומגה</v>
      </c>
      <c r="C1287" s="7">
        <v>15.8375</v>
      </c>
      <c r="D1287" s="2"/>
    </row>
    <row r="1288" spans="1:4" x14ac:dyDescent="0.2">
      <c r="A1288" s="2">
        <v>1285</v>
      </c>
      <c r="B1288" s="2" t="str">
        <f>"פלסטלינה צבעונית- 400 גרם - ורוד"</f>
        <v>פלסטלינה צבעונית- 400 גרם - ורוד</v>
      </c>
      <c r="C1288" s="7">
        <v>4.2444500000000005</v>
      </c>
      <c r="D1288" s="2"/>
    </row>
    <row r="1289" spans="1:4" x14ac:dyDescent="0.2">
      <c r="A1289" s="2">
        <v>1286</v>
      </c>
      <c r="B1289" s="2" t="str">
        <f>"רינגו -צבעי פנדה (גיר שעווה )*12"</f>
        <v>רינגו -צבעי פנדה (גיר שעווה )*12</v>
      </c>
      <c r="C1289" s="7">
        <v>6.9323000000000006</v>
      </c>
      <c r="D1289" s="2"/>
    </row>
    <row r="1290" spans="1:4" x14ac:dyDescent="0.2">
      <c r="A1290" s="2">
        <v>1287</v>
      </c>
      <c r="B1290" s="2" t="str">
        <f>"סט24 צבעי פנדה אוריגינל"</f>
        <v>סט24 צבעי פנדה אוריגינל</v>
      </c>
      <c r="C1290" s="7">
        <v>14.299000000000001</v>
      </c>
      <c r="D1290" s="2"/>
    </row>
    <row r="1291" spans="1:4" x14ac:dyDescent="0.2">
      <c r="A1291" s="2">
        <v>1288</v>
      </c>
      <c r="B1291" s="2" t="str">
        <f>"מכחול שטוח מס2"</f>
        <v>מכחול שטוח מס2</v>
      </c>
      <c r="C1291" s="7">
        <v>0.58825000000000005</v>
      </c>
      <c r="D1291" s="2"/>
    </row>
    <row r="1292" spans="1:4" x14ac:dyDescent="0.2">
      <c r="A1292" s="2">
        <v>1289</v>
      </c>
      <c r="B1292" s="2" t="str">
        <f>"מכחול שטוח מס6"</f>
        <v>מכחול שטוח מס6</v>
      </c>
      <c r="C1292" s="7">
        <v>1.58375</v>
      </c>
      <c r="D1292" s="2"/>
    </row>
    <row r="1293" spans="1:4" x14ac:dyDescent="0.2">
      <c r="A1293" s="2">
        <v>1290</v>
      </c>
      <c r="B1293" s="2" t="str">
        <f>"מכחול שטוח מס' 8"</f>
        <v>מכחול שטוח מס' 8</v>
      </c>
      <c r="C1293" s="7">
        <v>0.90500000000000003</v>
      </c>
      <c r="D1293" s="2"/>
    </row>
    <row r="1294" spans="1:4" x14ac:dyDescent="0.2">
      <c r="A1294" s="2">
        <v>1291</v>
      </c>
      <c r="B1294" s="2" t="str">
        <f>"מכחול שטוח מס' 10"</f>
        <v>מכחול שטוח מס' 10</v>
      </c>
      <c r="C1294" s="7">
        <v>1.58375</v>
      </c>
      <c r="D1294" s="2"/>
    </row>
    <row r="1295" spans="1:4" x14ac:dyDescent="0.2">
      <c r="A1295" s="2">
        <v>1292</v>
      </c>
      <c r="B1295" s="2" t="str">
        <f>"מכחול שטוח מס' 12"</f>
        <v>מכחול שטוח מס' 12</v>
      </c>
      <c r="C1295" s="7">
        <v>1.58375</v>
      </c>
      <c r="D1295" s="2"/>
    </row>
    <row r="1296" spans="1:4" x14ac:dyDescent="0.2">
      <c r="A1296" s="2">
        <v>1293</v>
      </c>
      <c r="B1296" s="2" t="str">
        <f>"מכחול שטוח מס' 14"</f>
        <v>מכחול שטוח מס' 14</v>
      </c>
      <c r="C1296" s="7">
        <v>1.58375</v>
      </c>
      <c r="D1296" s="2"/>
    </row>
    <row r="1297" spans="1:4" x14ac:dyDescent="0.2">
      <c r="A1297" s="2">
        <v>1294</v>
      </c>
      <c r="B1297" s="2" t="str">
        <f>"מכחול שטוח מס' 20"</f>
        <v>מכחול שטוח מס' 20</v>
      </c>
      <c r="C1297" s="7">
        <v>2.4435000000000002</v>
      </c>
      <c r="D1297" s="2"/>
    </row>
    <row r="1298" spans="1:4" x14ac:dyDescent="0.2">
      <c r="A1298" s="2">
        <v>1295</v>
      </c>
      <c r="B1298" s="2" t="str">
        <f>"מכחול שטוח מס' 24"</f>
        <v>מכחול שטוח מס' 24</v>
      </c>
      <c r="C1298" s="7">
        <v>2.4435000000000002</v>
      </c>
      <c r="D1298" s="2"/>
    </row>
    <row r="1299" spans="1:4" x14ac:dyDescent="0.2">
      <c r="A1299" s="2">
        <v>1296</v>
      </c>
      <c r="B1299" s="2" t="str">
        <f>"מכחול עגול מס4"</f>
        <v>מכחול עגול מס4</v>
      </c>
      <c r="C1299" s="7">
        <v>0.67874999999999996</v>
      </c>
      <c r="D1299" s="2"/>
    </row>
    <row r="1300" spans="1:4" x14ac:dyDescent="0.2">
      <c r="A1300" s="2">
        <v>1297</v>
      </c>
      <c r="B1300" s="2" t="str">
        <f>"מכחול עגול מס6"</f>
        <v>מכחול עגול מס6</v>
      </c>
      <c r="C1300" s="7">
        <v>1.58375</v>
      </c>
      <c r="D1300" s="2"/>
    </row>
    <row r="1301" spans="1:4" x14ac:dyDescent="0.2">
      <c r="A1301" s="2">
        <v>1298</v>
      </c>
      <c r="B1301" s="2" t="str">
        <f>"מכחול עגול מס8"</f>
        <v>מכחול עגול מס8</v>
      </c>
      <c r="C1301" s="7">
        <v>1.58375</v>
      </c>
      <c r="D1301" s="2"/>
    </row>
    <row r="1302" spans="1:4" x14ac:dyDescent="0.2">
      <c r="A1302" s="2">
        <v>1299</v>
      </c>
      <c r="B1302" s="2" t="str">
        <f>"מכחול עגול מס'10"</f>
        <v>מכחול עגול מס'10</v>
      </c>
      <c r="C1302" s="7">
        <v>0.99550000000000016</v>
      </c>
      <c r="D1302" s="2"/>
    </row>
    <row r="1303" spans="1:4" x14ac:dyDescent="0.2">
      <c r="A1303" s="2">
        <v>1300</v>
      </c>
      <c r="B1303" s="2" t="str">
        <f>"מכחול עגול מס' 12"</f>
        <v>מכחול עגול מס' 12</v>
      </c>
      <c r="C1303" s="7">
        <v>1.2488999999999999</v>
      </c>
      <c r="D1303" s="2"/>
    </row>
    <row r="1304" spans="1:4" x14ac:dyDescent="0.2">
      <c r="A1304" s="2">
        <v>1301</v>
      </c>
      <c r="B1304" s="2" t="str">
        <f>"מכחול עגול מס' 14"</f>
        <v>מכחול עגול מס' 14</v>
      </c>
      <c r="C1304" s="7">
        <v>1.58375</v>
      </c>
      <c r="D1304" s="2"/>
    </row>
    <row r="1305" spans="1:4" x14ac:dyDescent="0.2">
      <c r="A1305" s="2">
        <v>1302</v>
      </c>
      <c r="B1305" s="2" t="str">
        <f>"סט 6*מכחול שטוח -ארטי"</f>
        <v>סט 6*מכחול שטוח -ארטי</v>
      </c>
      <c r="C1305" s="7">
        <v>2.6697500000000001</v>
      </c>
      <c r="D1305" s="2"/>
    </row>
    <row r="1306" spans="1:4" x14ac:dyDescent="0.2">
      <c r="A1306" s="2">
        <v>1303</v>
      </c>
      <c r="B1306" s="2" t="str">
        <f>"סט 6*מכחול עגול -ארטי"</f>
        <v>סט 6*מכחול עגול -ארטי</v>
      </c>
      <c r="C1306" s="7">
        <v>2.6697500000000001</v>
      </c>
      <c r="D1306" s="2"/>
    </row>
    <row r="1307" spans="1:4" x14ac:dyDescent="0.2">
      <c r="A1307" s="2">
        <v>1304</v>
      </c>
      <c r="B1307" s="2" t="str">
        <f>"פסטל שמן אומגה עבה מתכת- 10יח'"</f>
        <v>פסטל שמן אומגה עבה מתכת- 10יח'</v>
      </c>
      <c r="C1307" s="7">
        <v>8.9595000000000002</v>
      </c>
      <c r="D1307" s="2"/>
    </row>
    <row r="1308" spans="1:4" x14ac:dyDescent="0.2">
      <c r="A1308" s="2">
        <v>1305</v>
      </c>
      <c r="B1308" s="2" t="str">
        <f>"פסטל שמן אומגה עבה זוהר- 12יח'"</f>
        <v>פסטל שמן אומגה עבה זוהר- 12יח'</v>
      </c>
      <c r="C1308" s="7">
        <v>12.579500000000001</v>
      </c>
      <c r="D1308" s="2"/>
    </row>
    <row r="1309" spans="1:4" x14ac:dyDescent="0.2">
      <c r="A1309" s="2">
        <v>1306</v>
      </c>
      <c r="B1309" s="2" t="str">
        <f>"גליטר גל אומגה 1/4 קג - זהב"</f>
        <v>גליטר גל אומגה 1/4 קג - זהב</v>
      </c>
      <c r="C1309" s="7">
        <v>6.2445000000000004</v>
      </c>
      <c r="D1309" s="2"/>
    </row>
    <row r="1310" spans="1:4" x14ac:dyDescent="0.2">
      <c r="A1310" s="2">
        <v>1307</v>
      </c>
      <c r="B1310" s="2" t="str">
        <f>"גליטר גל 1/4 קג - כסף"</f>
        <v>גליטר גל 1/4 קג - כסף</v>
      </c>
      <c r="C1310" s="7">
        <v>6.2445000000000004</v>
      </c>
      <c r="D1310" s="2"/>
    </row>
    <row r="1311" spans="1:4" x14ac:dyDescent="0.2">
      <c r="A1311" s="2">
        <v>1308</v>
      </c>
      <c r="B1311" s="2" t="str">
        <f>"בלוק ציור 240גר' 12 4/1דף"</f>
        <v>בלוק ציור 240גר' 12 4/1דף</v>
      </c>
      <c r="C1311" s="7">
        <v>5.3395000000000001</v>
      </c>
      <c r="D1311" s="2"/>
    </row>
    <row r="1312" spans="1:4" x14ac:dyDescent="0.2">
      <c r="A1312" s="2">
        <v>1309</v>
      </c>
      <c r="B1312" s="2" t="str">
        <f>"בלוק ציור1/2"</f>
        <v>בלוק ציור1/2</v>
      </c>
      <c r="C1312" s="7">
        <v>11.3125</v>
      </c>
      <c r="D1312" s="2"/>
    </row>
    <row r="1313" spans="1:4" x14ac:dyDescent="0.2">
      <c r="A1313" s="2">
        <v>1310</v>
      </c>
      <c r="B1313" s="2" t="str">
        <f>"בריסטול מנילה לבן-170 ( 70*100)  גרם*"</f>
        <v>בריסטול מנילה לבן-170 ( 70*100)  גרם*</v>
      </c>
      <c r="C1313" s="7">
        <v>1.6471</v>
      </c>
      <c r="D1313" s="2"/>
    </row>
    <row r="1314" spans="1:4" x14ac:dyDescent="0.2">
      <c r="A1314" s="2">
        <v>1311</v>
      </c>
      <c r="B1314" s="2" t="str">
        <f>"בריסטול מנילה 170גר' - שחור"</f>
        <v>בריסטול מנילה 170גר' - שחור</v>
      </c>
      <c r="C1314" s="7">
        <v>2.0814999999999997</v>
      </c>
      <c r="D1314" s="2"/>
    </row>
    <row r="1315" spans="1:4" x14ac:dyDescent="0.2">
      <c r="A1315" s="2">
        <v>1312</v>
      </c>
      <c r="B1315" s="2" t="str">
        <f>"לוח מפל100*70 ס''מ - שחור*"</f>
        <v>לוח מפל100*70 ס''מ - שחור*</v>
      </c>
      <c r="C1315" s="7">
        <v>4.0544000000000002</v>
      </c>
      <c r="D1315" s="2"/>
    </row>
    <row r="1316" spans="1:4" x14ac:dyDescent="0.2">
      <c r="A1316" s="2">
        <v>1313</v>
      </c>
      <c r="B1316" s="2" t="str">
        <f>"לוח מפל 100*70 ס""מ - כחול"</f>
        <v>לוח מפל 100*70 ס"מ - כחול</v>
      </c>
      <c r="C1316" s="7">
        <v>4.0544000000000002</v>
      </c>
      <c r="D1316" s="2"/>
    </row>
    <row r="1317" spans="1:4" x14ac:dyDescent="0.2">
      <c r="A1317" s="2">
        <v>1314</v>
      </c>
      <c r="B1317" s="2" t="str">
        <f>"לוח מפל100*70 ס''מ - אדום"</f>
        <v>לוח מפל100*70 ס''מ - אדום</v>
      </c>
      <c r="C1317" s="7">
        <v>4.0544000000000002</v>
      </c>
      <c r="D1317" s="2"/>
    </row>
    <row r="1318" spans="1:4" x14ac:dyDescent="0.2">
      <c r="A1318" s="2">
        <v>1315</v>
      </c>
      <c r="B1318" s="2" t="str">
        <f>"לוח מפל 100*70 ס""מ - לבן"</f>
        <v>לוח מפל 100*70 ס"מ - לבן</v>
      </c>
      <c r="C1318" s="7">
        <v>4.0544000000000002</v>
      </c>
      <c r="D1318" s="2"/>
    </row>
    <row r="1319" spans="1:4" x14ac:dyDescent="0.2">
      <c r="A1319" s="2">
        <v>1316</v>
      </c>
      <c r="B1319" s="2" t="str">
        <f>"לוח מפל100*70 ס''מ - ירוק כהה"</f>
        <v>לוח מפל100*70 ס''מ - ירוק כהה</v>
      </c>
      <c r="C1319" s="7">
        <v>4.0544000000000002</v>
      </c>
      <c r="D1319" s="2"/>
    </row>
    <row r="1320" spans="1:4" x14ac:dyDescent="0.2">
      <c r="A1320" s="2">
        <v>1317</v>
      </c>
      <c r="B1320" s="2" t="str">
        <f>"לוח מפל100*70 ס''מ - ורוד"</f>
        <v>לוח מפל100*70 ס''מ - ורוד</v>
      </c>
      <c r="C1320" s="7">
        <v>4.0544000000000002</v>
      </c>
      <c r="D1320" s="2"/>
    </row>
    <row r="1321" spans="1:4" x14ac:dyDescent="0.2">
      <c r="A1321" s="2">
        <v>1318</v>
      </c>
      <c r="B1321" s="2" t="str">
        <f>"לוח מפל100*70 ס''מ - חום"</f>
        <v>לוח מפל100*70 ס''מ - חום</v>
      </c>
      <c r="C1321" s="7">
        <v>4.0544000000000002</v>
      </c>
      <c r="D1321" s="2"/>
    </row>
    <row r="1322" spans="1:4" x14ac:dyDescent="0.2">
      <c r="A1322" s="2">
        <v>1319</v>
      </c>
      <c r="B1322" s="2" t="str">
        <f>"לוח מפל100*70 ס''מ - כתום"</f>
        <v>לוח מפל100*70 ס''מ - כתום</v>
      </c>
      <c r="C1322" s="7">
        <v>4.0544000000000002</v>
      </c>
      <c r="D1322" s="2"/>
    </row>
    <row r="1323" spans="1:4" x14ac:dyDescent="0.2">
      <c r="A1323" s="2">
        <v>1320</v>
      </c>
      <c r="B1323" s="2" t="str">
        <f>"לוח מפל100*70 ס''מ - סגול"</f>
        <v>לוח מפל100*70 ס''מ - סגול</v>
      </c>
      <c r="C1323" s="7">
        <v>4.0544000000000002</v>
      </c>
      <c r="D1323" s="2"/>
    </row>
    <row r="1324" spans="1:4" x14ac:dyDescent="0.2">
      <c r="A1324" s="2">
        <v>1321</v>
      </c>
      <c r="B1324" s="2" t="str">
        <f>"לוח מפל100*70 ס''מ - צהוב"</f>
        <v>לוח מפל100*70 ס''מ - צהוב</v>
      </c>
      <c r="C1324" s="7">
        <v>4.0544000000000002</v>
      </c>
      <c r="D1324" s="2"/>
    </row>
    <row r="1325" spans="1:4" x14ac:dyDescent="0.2">
      <c r="A1325" s="2">
        <v>1322</v>
      </c>
      <c r="B1325" s="2" t="str">
        <f>"לוח מפל100*70 ס''מ - אפור"</f>
        <v>לוח מפל100*70 ס''מ - אפור</v>
      </c>
      <c r="C1325" s="7">
        <v>4.0544000000000002</v>
      </c>
      <c r="D1325" s="2"/>
    </row>
    <row r="1326" spans="1:4" x14ac:dyDescent="0.2">
      <c r="A1326" s="2">
        <v>1323</v>
      </c>
      <c r="B1326" s="2" t="str">
        <f>"לוח פוליגל 125*80ס""מ - שחור*"</f>
        <v>לוח פוליגל 125*80ס"מ - שחור*</v>
      </c>
      <c r="C1326" s="7">
        <v>6.6064999999999996</v>
      </c>
      <c r="D1326" s="2"/>
    </row>
    <row r="1327" spans="1:4" x14ac:dyDescent="0.2">
      <c r="A1327" s="2">
        <v>1324</v>
      </c>
      <c r="B1327" s="2" t="str">
        <f>"לוח פוליגל 125*80 ס""מ - כחול"</f>
        <v>לוח פוליגל 125*80 ס"מ - כחול</v>
      </c>
      <c r="C1327" s="7">
        <v>6.6064999999999996</v>
      </c>
      <c r="D1327" s="2"/>
    </row>
    <row r="1328" spans="1:4" x14ac:dyDescent="0.2">
      <c r="A1328" s="2">
        <v>1325</v>
      </c>
      <c r="B1328" s="2" t="str">
        <f>"לוח פוליגל 125*80 ס""מ - אדום"</f>
        <v>לוח פוליגל 125*80 ס"מ - אדום</v>
      </c>
      <c r="C1328" s="7">
        <v>6.6064999999999996</v>
      </c>
      <c r="D1328" s="2"/>
    </row>
    <row r="1329" spans="1:4" x14ac:dyDescent="0.2">
      <c r="A1329" s="2">
        <v>1326</v>
      </c>
      <c r="B1329" s="2" t="str">
        <f>"לוח פוליגל 125*80 ס""מ - לבן"</f>
        <v>לוח פוליגל 125*80 ס"מ - לבן</v>
      </c>
      <c r="C1329" s="7">
        <v>6.6064999999999996</v>
      </c>
      <c r="D1329" s="2"/>
    </row>
    <row r="1330" spans="1:4" x14ac:dyDescent="0.2">
      <c r="A1330" s="2">
        <v>1327</v>
      </c>
      <c r="B1330" s="2" t="str">
        <f>"לוח פוליגל 125*80 ס""מ - ירוק"</f>
        <v>לוח פוליגל 125*80 ס"מ - ירוק</v>
      </c>
      <c r="C1330" s="7">
        <v>6.6064999999999996</v>
      </c>
      <c r="D1330" s="2"/>
    </row>
    <row r="1331" spans="1:4" x14ac:dyDescent="0.2">
      <c r="A1331" s="2">
        <v>1328</v>
      </c>
      <c r="B1331" s="2" t="str">
        <f>"לוח פוליגל 125*80 ס""מ - ורוד"</f>
        <v>לוח פוליגל 125*80 ס"מ - ורוד</v>
      </c>
      <c r="C1331" s="7">
        <v>6.6064999999999996</v>
      </c>
      <c r="D1331" s="2"/>
    </row>
    <row r="1332" spans="1:4" x14ac:dyDescent="0.2">
      <c r="A1332" s="2">
        <v>1329</v>
      </c>
      <c r="B1332" s="2" t="str">
        <f>"לוח פוליגל 125*80 ס""מ - חום"</f>
        <v>לוח פוליגל 125*80 ס"מ - חום</v>
      </c>
      <c r="C1332" s="7">
        <v>6.6064999999999996</v>
      </c>
      <c r="D1332" s="2"/>
    </row>
    <row r="1333" spans="1:4" x14ac:dyDescent="0.2">
      <c r="A1333" s="2">
        <v>1330</v>
      </c>
      <c r="B1333" s="2" t="str">
        <f>"לוח פוליגל 125*80 ס""מ - כתום"</f>
        <v>לוח פוליגל 125*80 ס"מ - כתום</v>
      </c>
      <c r="C1333" s="7">
        <v>6.6064999999999996</v>
      </c>
      <c r="D1333" s="2"/>
    </row>
    <row r="1334" spans="1:4" x14ac:dyDescent="0.2">
      <c r="A1334" s="2">
        <v>1331</v>
      </c>
      <c r="B1334" s="2" t="str">
        <f>"לוח פוליגל 125*80 ס""מ - סגול"</f>
        <v>לוח פוליגל 125*80 ס"מ - סגול</v>
      </c>
      <c r="C1334" s="7">
        <v>6.6064999999999996</v>
      </c>
      <c r="D1334" s="2"/>
    </row>
    <row r="1335" spans="1:4" x14ac:dyDescent="0.2">
      <c r="A1335" s="2">
        <v>1332</v>
      </c>
      <c r="B1335" s="2" t="str">
        <f>"לוח פוליגל 125*80 ס""מ - צהוב"</f>
        <v>לוח פוליגל 125*80 ס"מ - צהוב</v>
      </c>
      <c r="C1335" s="7">
        <v>6.6064999999999996</v>
      </c>
      <c r="D1335" s="2"/>
    </row>
    <row r="1336" spans="1:4" x14ac:dyDescent="0.2">
      <c r="A1336" s="2">
        <v>1333</v>
      </c>
      <c r="B1336" s="2" t="str">
        <f>"לוח פוליגל125*80 ס''מ - שקוף"</f>
        <v>לוח פוליגל125*80 ס''מ - שקוף</v>
      </c>
      <c r="C1336" s="7">
        <v>6.6064999999999996</v>
      </c>
      <c r="D1336" s="2"/>
    </row>
    <row r="1337" spans="1:4" x14ac:dyDescent="0.2">
      <c r="A1337" s="2">
        <v>1334</v>
      </c>
      <c r="B1337" s="2" t="str">
        <f>"גליל צמדן סקוץ' זכר- 25 מ"</f>
        <v>גליל צמדן סקוץ' זכר- 25 מ</v>
      </c>
      <c r="C1337" s="7">
        <v>15.294499999999999</v>
      </c>
      <c r="D1337" s="2"/>
    </row>
    <row r="1338" spans="1:4" x14ac:dyDescent="0.2">
      <c r="A1338" s="2">
        <v>1335</v>
      </c>
      <c r="B1338" s="2" t="str">
        <f>"גליל צמדן סקוץ 'נקבה- 25 מ"</f>
        <v>גליל צמדן סקוץ 'נקבה- 25 מ</v>
      </c>
      <c r="C1338" s="7">
        <v>15.294499999999999</v>
      </c>
      <c r="D1338" s="2"/>
    </row>
    <row r="1339" spans="1:4" x14ac:dyDescent="0.2">
      <c r="A1339" s="2">
        <v>1336</v>
      </c>
      <c r="B1339" s="2" t="str">
        <f>"בלוק ציור1/8 טלנס 180גרם"</f>
        <v>בלוק ציור1/8 טלנס 180גרם</v>
      </c>
      <c r="C1339" s="7">
        <v>1.2669999999999999</v>
      </c>
      <c r="D1339" s="2"/>
    </row>
    <row r="1340" spans="1:4" x14ac:dyDescent="0.2">
      <c r="A1340" s="2">
        <v>1337</v>
      </c>
      <c r="B1340" s="2" t="str">
        <f>"בלוק ציור1/4 טלנס 180 גרם"</f>
        <v>בלוק ציור1/4 טלנס 180 גרם</v>
      </c>
      <c r="C1340" s="7">
        <v>2.1720000000000002</v>
      </c>
      <c r="D1340" s="2"/>
    </row>
    <row r="1341" spans="1:4" x14ac:dyDescent="0.2">
      <c r="A1341" s="2">
        <v>1338</v>
      </c>
      <c r="B1341" s="2" t="str">
        <f>"אקריליק סלוודור זהב 200-220 מל"</f>
        <v>אקריליק סלוודור זהב 200-220 מל</v>
      </c>
      <c r="C1341" s="7">
        <v>16.7425</v>
      </c>
      <c r="D1341" s="2"/>
    </row>
    <row r="1342" spans="1:4" x14ac:dyDescent="0.2">
      <c r="A1342" s="2">
        <v>1339</v>
      </c>
      <c r="B1342" s="2" t="str">
        <f>"אקריליק סלוודור כסף220-200 מ''ל"</f>
        <v>אקריליק סלוודור כסף220-200 מ''ל</v>
      </c>
      <c r="C1342" s="7">
        <v>16.7425</v>
      </c>
      <c r="D1342" s="2"/>
    </row>
    <row r="1343" spans="1:4" x14ac:dyDescent="0.2">
      <c r="A1343" s="2">
        <v>1340</v>
      </c>
      <c r="B1343" s="2" t="str">
        <f>"אקריליק סלוודור ירוק דשא220-200 מ''ל"</f>
        <v>אקריליק סלוודור ירוק דשא220-200 מ''ל</v>
      </c>
      <c r="C1343" s="7">
        <v>9.8645000000000014</v>
      </c>
      <c r="D1343" s="2"/>
    </row>
    <row r="1344" spans="1:4" x14ac:dyDescent="0.2">
      <c r="A1344" s="2">
        <v>1341</v>
      </c>
      <c r="B1344" s="2" t="str">
        <f>"אקריליק סלוודור ורוד220-200 מ''ל"</f>
        <v>אקריליק סלוודור ורוד220-200 מ''ל</v>
      </c>
      <c r="C1344" s="7">
        <v>9.8645000000000014</v>
      </c>
      <c r="D1344" s="2"/>
    </row>
    <row r="1345" spans="1:4" x14ac:dyDescent="0.2">
      <c r="A1345" s="2">
        <v>1342</v>
      </c>
      <c r="B1345" s="2" t="str">
        <f>"אקריליק סלוודור קרם שמנת220-200 מ''ל"</f>
        <v>אקריליק סלוודור קרם שמנת220-200 מ''ל</v>
      </c>
      <c r="C1345" s="7">
        <v>9.8645000000000014</v>
      </c>
      <c r="D1345" s="2"/>
    </row>
    <row r="1346" spans="1:4" x14ac:dyDescent="0.2">
      <c r="A1346" s="2">
        <v>1343</v>
      </c>
      <c r="B1346" s="2" t="str">
        <f>"דבק פלסטלינה56 PUTTY גר' 3M -860"</f>
        <v>דבק פלסטלינה56 PUTTY גר' 3M -860</v>
      </c>
      <c r="C1346" s="7">
        <v>5.2489999999999997</v>
      </c>
      <c r="D1346" s="2"/>
    </row>
    <row r="1347" spans="1:4" x14ac:dyDescent="0.2">
      <c r="A1347" s="2">
        <v>1344</v>
      </c>
      <c r="B1347" s="2" t="str">
        <f>"וואשי טייפ - כתום תפוז C314-ORG"</f>
        <v>וואשי טייפ - כתום תפוז C314-ORG</v>
      </c>
      <c r="C1347" s="7">
        <v>4.9775</v>
      </c>
      <c r="D1347" s="2"/>
    </row>
    <row r="1348" spans="1:4" x14ac:dyDescent="0.2">
      <c r="A1348" s="2">
        <v>1345</v>
      </c>
      <c r="B1348" s="2" t="str">
        <f>"וואשי טייפ - ורוד זרחניC314-PNK"</f>
        <v>וואשי טייפ - ורוד זרחניC314-PNK</v>
      </c>
      <c r="C1348" s="7">
        <v>4.0724999999999998</v>
      </c>
      <c r="D1348" s="2"/>
    </row>
    <row r="1349" spans="1:4" x14ac:dyDescent="0.2">
      <c r="A1349" s="2">
        <v>1346</v>
      </c>
      <c r="B1349" s="2" t="str">
        <f>"וואשי טייפ - צהוב בוהקC314-YEL"</f>
        <v>וואשי טייפ - צהוב בוהקC314-YEL</v>
      </c>
      <c r="C1349" s="7">
        <v>4.0724999999999998</v>
      </c>
      <c r="D1349" s="2"/>
    </row>
    <row r="1350" spans="1:4" x14ac:dyDescent="0.2">
      <c r="A1350" s="2">
        <v>1347</v>
      </c>
      <c r="B1350" s="2" t="str">
        <f>"וואשי טייפ - כחול עמוקC314-BLU"</f>
        <v>וואשי טייפ - כחול עמוקC314-BLU</v>
      </c>
      <c r="C1350" s="7">
        <v>4.9775</v>
      </c>
      <c r="D1350" s="2"/>
    </row>
    <row r="1351" spans="1:4" x14ac:dyDescent="0.2">
      <c r="A1351" s="2">
        <v>1348</v>
      </c>
      <c r="B1351" s="2" t="str">
        <f>"וואשי טייפ - כסףC314-SIL"</f>
        <v>וואשי טייפ - כסףC314-SIL</v>
      </c>
      <c r="C1351" s="7">
        <v>4.0724999999999998</v>
      </c>
      <c r="D1351" s="2"/>
    </row>
    <row r="1352" spans="1:4" x14ac:dyDescent="0.2">
      <c r="A1352" s="2">
        <v>1349</v>
      </c>
      <c r="B1352" s="2" t="str">
        <f>"וואשי טייפ -לבן עם פרחי פרג אדום ורודC314-P18"</f>
        <v>וואשי טייפ -לבן עם פרחי פרג אדום ורודC314-P18</v>
      </c>
      <c r="C1352" s="7">
        <v>6.2445000000000004</v>
      </c>
      <c r="D1352" s="2"/>
    </row>
    <row r="1353" spans="1:4" x14ac:dyDescent="0.2">
      <c r="A1353" s="2">
        <v>1350</v>
      </c>
      <c r="B1353" s="2" t="str">
        <f>"אקדח דבק חם איכותי 80W"</f>
        <v>אקדח דבק חם איכותי 80W</v>
      </c>
      <c r="C1353" s="7">
        <v>32.4895</v>
      </c>
      <c r="D1353" s="2"/>
    </row>
    <row r="1354" spans="1:4" x14ac:dyDescent="0.2">
      <c r="A1354" s="2">
        <v>1351</v>
      </c>
      <c r="B1354" s="2" t="str">
        <f>"פתיליות לאקדח דבק חם"</f>
        <v>פתיליות לאקדח דבק חם</v>
      </c>
      <c r="C1354" s="7">
        <v>0.62444999999999995</v>
      </c>
      <c r="D1354" s="2"/>
    </row>
    <row r="1355" spans="1:4" x14ac:dyDescent="0.2">
      <c r="A1355" s="2">
        <v>1352</v>
      </c>
      <c r="B1355" s="2" t="str">
        <f>"לוח מפל 100*70 ס""מ - שקוף"</f>
        <v>לוח מפל 100*70 ס"מ - שקוף</v>
      </c>
      <c r="C1355" s="7">
        <v>4.0544000000000002</v>
      </c>
      <c r="D1355" s="2"/>
    </row>
    <row r="1356" spans="1:4" x14ac:dyDescent="0.2">
      <c r="A1356" s="2">
        <v>1353</v>
      </c>
      <c r="B1356" s="2" t="str">
        <f>"פלסטלינה צבעונית - 400 גרם - אפור"</f>
        <v>פלסטלינה צבעונית - 400 גרם - אפור</v>
      </c>
      <c r="C1356" s="7">
        <v>4.2444500000000005</v>
      </c>
      <c r="D1356" s="2"/>
    </row>
    <row r="1357" spans="1:4" x14ac:dyDescent="0.2">
      <c r="A1357" s="2">
        <v>1354</v>
      </c>
      <c r="B1357" s="2" t="str">
        <f>"פלסטלינה צבעונית -400  גרם - תכלת"</f>
        <v>פלסטלינה צבעונית -400  גרם - תכלת</v>
      </c>
      <c r="C1357" s="7">
        <v>4.2444500000000005</v>
      </c>
      <c r="D1357" s="2"/>
    </row>
    <row r="1358" spans="1:4" x14ac:dyDescent="0.2">
      <c r="A1358" s="2">
        <v>1355</v>
      </c>
      <c r="B1358" s="2" t="str">
        <f>"משטחי סול100*40 ס''מ - אדום"</f>
        <v>משטחי סול100*40 ס''מ - אדום</v>
      </c>
      <c r="C1358" s="7">
        <v>3.1675</v>
      </c>
      <c r="D1358" s="2"/>
    </row>
    <row r="1359" spans="1:4" x14ac:dyDescent="0.2">
      <c r="A1359" s="2">
        <v>1356</v>
      </c>
      <c r="B1359" s="2" t="str">
        <f>"משטחי סול 100*40ס""מ - ורוד"</f>
        <v>משטחי סול 100*40ס"מ - ורוד</v>
      </c>
      <c r="C1359" s="7">
        <v>3.1675</v>
      </c>
      <c r="D1359" s="2"/>
    </row>
    <row r="1360" spans="1:4" x14ac:dyDescent="0.2">
      <c r="A1360" s="2">
        <v>1357</v>
      </c>
      <c r="B1360" s="2" t="str">
        <f>"משטחי סול 100*40ס""מ - חום"</f>
        <v>משטחי סול 100*40ס"מ - חום</v>
      </c>
      <c r="C1360" s="7">
        <v>3.1675</v>
      </c>
      <c r="D1360" s="2"/>
    </row>
    <row r="1361" spans="1:4" x14ac:dyDescent="0.2">
      <c r="A1361" s="2">
        <v>1358</v>
      </c>
      <c r="B1361" s="2" t="str">
        <f>"משטחי סול 100*40ס""מ - ירוק בהיר"</f>
        <v>משטחי סול 100*40ס"מ - ירוק בהיר</v>
      </c>
      <c r="C1361" s="7">
        <v>3.1675</v>
      </c>
      <c r="D1361" s="2"/>
    </row>
    <row r="1362" spans="1:4" x14ac:dyDescent="0.2">
      <c r="A1362" s="2">
        <v>1359</v>
      </c>
      <c r="B1362" s="2" t="str">
        <f>"משטחי סול 100*40ס""מ - כחול"</f>
        <v>משטחי סול 100*40ס"מ - כחול</v>
      </c>
      <c r="C1362" s="7">
        <v>3.1675</v>
      </c>
      <c r="D1362" s="2"/>
    </row>
    <row r="1363" spans="1:4" x14ac:dyDescent="0.2">
      <c r="A1363" s="2">
        <v>1360</v>
      </c>
      <c r="B1363" s="2" t="str">
        <f>"משטחי סול 100*40ס""מ - כתום"</f>
        <v>משטחי סול 100*40ס"מ - כתום</v>
      </c>
      <c r="C1363" s="7">
        <v>3.1675</v>
      </c>
      <c r="D1363" s="2"/>
    </row>
    <row r="1364" spans="1:4" x14ac:dyDescent="0.2">
      <c r="A1364" s="2">
        <v>1361</v>
      </c>
      <c r="B1364" s="2" t="str">
        <f>"משטחי סול 100*40ס""מ - צהוב"</f>
        <v>משטחי סול 100*40ס"מ - צהוב</v>
      </c>
      <c r="C1364" s="7">
        <v>3.1675</v>
      </c>
      <c r="D1364" s="2"/>
    </row>
    <row r="1365" spans="1:4" x14ac:dyDescent="0.2">
      <c r="A1365" s="2">
        <v>1362</v>
      </c>
      <c r="B1365" s="2" t="str">
        <f>"משטחי סול 100*40ס""מ - שחור*"</f>
        <v>משטחי סול 100*40ס"מ - שחור*</v>
      </c>
      <c r="C1365" s="7">
        <v>3.1675</v>
      </c>
      <c r="D1365" s="2"/>
    </row>
    <row r="1366" spans="1:4" x14ac:dyDescent="0.2">
      <c r="A1366" s="2">
        <v>1363</v>
      </c>
      <c r="B1366" s="2" t="str">
        <f>"משטחי סול100*40 ס''מ - טורקיז"</f>
        <v>משטחי סול100*40 ס''מ - טורקיז</v>
      </c>
      <c r="C1366" s="7">
        <v>3.1675</v>
      </c>
      <c r="D1366" s="2"/>
    </row>
    <row r="1367" spans="1:4" x14ac:dyDescent="0.2">
      <c r="A1367" s="2">
        <v>1364</v>
      </c>
      <c r="B1367" s="2" t="str">
        <f>"משטחי סול 100*40ס""מ - ירוק כהה"</f>
        <v>משטחי סול 100*40ס"מ - ירוק כהה</v>
      </c>
      <c r="C1367" s="7">
        <v>3.1675</v>
      </c>
      <c r="D1367" s="2"/>
    </row>
    <row r="1368" spans="1:4" x14ac:dyDescent="0.2">
      <c r="A1368" s="2">
        <v>1365</v>
      </c>
      <c r="B1368" s="2" t="str">
        <f>"משטחי סול 100*40ס""מ - סגול"</f>
        <v>משטחי סול 100*40ס"מ - סגול</v>
      </c>
      <c r="C1368" s="7">
        <v>3.1675</v>
      </c>
      <c r="D1368" s="2"/>
    </row>
    <row r="1369" spans="1:4" x14ac:dyDescent="0.2">
      <c r="A1369" s="2">
        <v>1366</v>
      </c>
      <c r="B1369" s="2" t="str">
        <f>"משטחי סול 100*40ס""מ - גוף"</f>
        <v>משטחי סול 100*40ס"מ - גוף</v>
      </c>
      <c r="C1369" s="7">
        <v>3.1675</v>
      </c>
      <c r="D1369" s="2"/>
    </row>
    <row r="1370" spans="1:4" x14ac:dyDescent="0.2">
      <c r="A1370" s="2">
        <v>1367</v>
      </c>
      <c r="B1370" s="2" t="str">
        <f>"משטחי סול 100*40 ס""מ - צבעוני (10 יח')"</f>
        <v>משטחי סול 100*40 ס"מ - צבעוני (10 יח')</v>
      </c>
      <c r="C1370" s="7">
        <v>23.53</v>
      </c>
      <c r="D1370" s="2"/>
    </row>
    <row r="1371" spans="1:4" x14ac:dyDescent="0.2">
      <c r="A1371" s="2">
        <v>1368</v>
      </c>
      <c r="B1371" s="2" t="str">
        <f>"בד מתוח על מסגרת עץ 30/40"</f>
        <v>בד מתוח על מסגרת עץ 30/40</v>
      </c>
      <c r="C1371" s="7">
        <v>6.697000000000001</v>
      </c>
      <c r="D1371" s="2"/>
    </row>
    <row r="1372" spans="1:4" x14ac:dyDescent="0.2">
      <c r="A1372" s="2">
        <v>1369</v>
      </c>
      <c r="B1372" s="2" t="str">
        <f>"בצק בגביע רגיל"</f>
        <v>בצק בגביע רגיל</v>
      </c>
      <c r="C1372" s="7">
        <v>7.6924999999999999</v>
      </c>
      <c r="D1372" s="2"/>
    </row>
    <row r="1373" spans="1:4" x14ac:dyDescent="0.2">
      <c r="A1373" s="2">
        <v>1370</v>
      </c>
      <c r="B1373" s="2" t="str">
        <f>"דו צדדי ספוגי 16אינש' 3M-111*"</f>
        <v>דו צדדי ספוגי 16אינש' 3M-111*</v>
      </c>
      <c r="C1373" s="7">
        <v>7.6020000000000003</v>
      </c>
      <c r="D1373" s="2"/>
    </row>
    <row r="1374" spans="1:4" x14ac:dyDescent="0.2">
      <c r="A1374" s="2">
        <v>1371</v>
      </c>
      <c r="B1374" s="2" t="str">
        <f>"דו צדדי ספוגי 3M 114 ""1*"</f>
        <v>דו צדדי ספוגי 3M 114 "1*</v>
      </c>
      <c r="C1374" s="7">
        <v>16.045650000000002</v>
      </c>
      <c r="D1374" s="2"/>
    </row>
    <row r="1375" spans="1:4" x14ac:dyDescent="0.2">
      <c r="A1375" s="2">
        <v>1372</v>
      </c>
      <c r="B1375" s="2" t="str">
        <f>"גליל דבק דו צדדי ספוגי שקוף (בתליה( 3M -4010"</f>
        <v>גליל דבק דו צדדי ספוגי שקוף (בתליה( 3M -4010</v>
      </c>
      <c r="C1375" s="7">
        <v>11.3125</v>
      </c>
      <c r="D1375" s="2"/>
    </row>
    <row r="1376" spans="1:4" x14ac:dyDescent="0.2">
      <c r="A1376" s="2">
        <v>1373</v>
      </c>
      <c r="B1376" s="2" t="str">
        <f>"גליל דבק דו צדדי ספוגי חזק 4011 במיוחד 3M*"</f>
        <v>גליל דבק דו צדדי ספוגי חזק 4011 במיוחד 3M*</v>
      </c>
      <c r="C1376" s="7">
        <v>13.466400000000002</v>
      </c>
      <c r="D1376" s="2"/>
    </row>
    <row r="1377" spans="1:4" x14ac:dyDescent="0.2">
      <c r="A1377" s="2">
        <v>1374</v>
      </c>
      <c r="B1377" s="2" t="str">
        <f>"שלישיית דגלונים קשיחה 686-RYB-3M"</f>
        <v>שלישיית דגלונים קשיחה 686-RYB-3M</v>
      </c>
      <c r="C1377" s="7">
        <v>20.724499999999999</v>
      </c>
      <c r="D1377" s="2"/>
    </row>
    <row r="1378" spans="1:4" x14ac:dyDescent="0.2">
      <c r="A1378" s="2">
        <v>1375</v>
      </c>
      <c r="B1378" s="2" t="str">
        <f>"סרט טייפ 3Mדו צדדי 6.35*""2/1מ' 136"</f>
        <v>סרט טייפ 3Mדו צדדי 6.35*"2/1מ' 136</v>
      </c>
      <c r="C1378" s="7">
        <v>5.65625</v>
      </c>
      <c r="D1378" s="2"/>
    </row>
    <row r="1379" spans="1:4" x14ac:dyDescent="0.2">
      <c r="A1379" s="2">
        <v>1376</v>
      </c>
      <c r="B1379" s="2" t="str">
        <f>"חרוז עץ ציבעוניים150 יח"</f>
        <v>חרוז עץ ציבעוניים150 יח</v>
      </c>
      <c r="C1379" s="7">
        <v>7.1495000000000006</v>
      </c>
      <c r="D1379" s="2"/>
    </row>
    <row r="1380" spans="1:4" x14ac:dyDescent="0.2">
      <c r="A1380" s="2">
        <v>1377</v>
      </c>
      <c r="B1380" s="2" t="str">
        <f>"גבס בשקית -1 ק""ג"</f>
        <v>גבס בשקית -1 ק"ג</v>
      </c>
      <c r="C1380" s="7">
        <v>2.9141000000000004</v>
      </c>
      <c r="D1380" s="2"/>
    </row>
    <row r="1381" spans="1:4" x14ac:dyDescent="0.2">
      <c r="A1381" s="2">
        <v>1378</v>
      </c>
      <c r="B1381" s="2" t="str">
        <f>"בצק 2ק""ג"</f>
        <v>בצק 2ק"ג</v>
      </c>
      <c r="C1381" s="7">
        <v>12.217500000000001</v>
      </c>
      <c r="D1381" s="2"/>
    </row>
    <row r="1382" spans="1:4" x14ac:dyDescent="0.2">
      <c r="A1382" s="2">
        <v>1379</v>
      </c>
      <c r="B1382" s="2" t="str">
        <f>"חמרן5 מ"</f>
        <v>חמרן5 מ</v>
      </c>
      <c r="C1382" s="7">
        <v>22.172499999999999</v>
      </c>
      <c r="D1382" s="2"/>
    </row>
    <row r="1383" spans="1:4" x14ac:dyDescent="0.2">
      <c r="A1383" s="2">
        <v>1380</v>
      </c>
      <c r="B1383" s="2" t="str">
        <f>"חרוז פלסטיק מעורב450 גר (( 615"</f>
        <v>חרוז פלסטיק מעורב450 גר (( 615</v>
      </c>
      <c r="C1383" s="7">
        <v>22.172499999999999</v>
      </c>
      <c r="D1383" s="2"/>
    </row>
    <row r="1384" spans="1:4" x14ac:dyDescent="0.2">
      <c r="A1384" s="2">
        <v>1381</v>
      </c>
      <c r="B1384" s="2" t="str">
        <f>"עיניים זזות5 מ''מ1/100"</f>
        <v>עיניים זזות5 מ''מ1/100</v>
      </c>
      <c r="C1384" s="7">
        <v>1.3574999999999999</v>
      </c>
      <c r="D1384" s="2"/>
    </row>
    <row r="1385" spans="1:4" x14ac:dyDescent="0.2">
      <c r="A1385" s="2">
        <v>1382</v>
      </c>
      <c r="B1385" s="2" t="str">
        <f>"עיניים זזות12 מ''מ1/100"</f>
        <v>עיניים זזות12 מ''מ1/100</v>
      </c>
      <c r="C1385" s="7">
        <v>2.8507500000000001</v>
      </c>
      <c r="D1385" s="2"/>
    </row>
    <row r="1386" spans="1:4" x14ac:dyDescent="0.2">
      <c r="A1386" s="2">
        <v>1383</v>
      </c>
      <c r="B1386" s="2" t="str">
        <f>"אטבים עץ מלא טבעי שלם ( מארז ) לא מיני"</f>
        <v>אטבים עץ מלא טבעי שלם ( מארז ) לא מיני</v>
      </c>
      <c r="C1386" s="7">
        <v>5.2489999999999997</v>
      </c>
      <c r="D1386" s="2"/>
    </row>
    <row r="1387" spans="1:4" x14ac:dyDescent="0.2">
      <c r="A1387" s="2">
        <v>1384</v>
      </c>
      <c r="B1387" s="2" t="str">
        <f>"פומפונים 4/3( 2ס""מ) 50יח'"</f>
        <v>פומפונים 4/3( 2ס"מ) 50יח'</v>
      </c>
      <c r="C1387" s="7">
        <v>2.6968999999999999</v>
      </c>
      <c r="D1387" s="2"/>
    </row>
    <row r="1388" spans="1:4" x14ac:dyDescent="0.2">
      <c r="A1388" s="2">
        <v>1385</v>
      </c>
      <c r="B1388" s="2" t="str">
        <f>"פומפונים3) 1 ס''מ)50 יח 'מעורב צבעים"</f>
        <v>פומפונים3) 1 ס''מ)50 יח 'מעורב צבעים</v>
      </c>
      <c r="C1388" s="7">
        <v>3.3485000000000005</v>
      </c>
      <c r="D1388" s="2"/>
    </row>
    <row r="1389" spans="1:4" x14ac:dyDescent="0.2">
      <c r="A1389" s="2">
        <v>1386</v>
      </c>
      <c r="B1389" s="2" t="str">
        <f>"מקלות ארטיק צבעוני 200גר"</f>
        <v>מקלות ארטיק צבעוני 200גר</v>
      </c>
      <c r="C1389" s="7">
        <v>4.9775</v>
      </c>
      <c r="D1389" s="2"/>
    </row>
    <row r="1390" spans="1:4" x14ac:dyDescent="0.2">
      <c r="A1390" s="2">
        <v>1387</v>
      </c>
      <c r="B1390" s="2" t="str">
        <f>"מנקה מקטרות רגיל100 יח"</f>
        <v>מנקה מקטרות רגיל100 יח</v>
      </c>
      <c r="C1390" s="7">
        <v>5.7015000000000002</v>
      </c>
      <c r="D1390" s="2"/>
    </row>
    <row r="1391" spans="1:4" x14ac:dyDescent="0.2">
      <c r="A1391" s="2">
        <v>1388</v>
      </c>
      <c r="B1391" s="2" t="str">
        <f>"חוט דיג100 0.3/0.4 מ"</f>
        <v>חוט דיג100 0.3/0.4 מ</v>
      </c>
      <c r="C1391" s="7">
        <v>4.7512499999999998</v>
      </c>
      <c r="D1391" s="2"/>
    </row>
    <row r="1392" spans="1:4" x14ac:dyDescent="0.2">
      <c r="A1392" s="2">
        <v>1389</v>
      </c>
      <c r="B1392" s="2" t="str">
        <f>"כדורי קלקר7 ס''מ50 יח'"</f>
        <v>כדורי קלקר7 ס''מ50 יח'</v>
      </c>
      <c r="C1392" s="7">
        <v>25.34</v>
      </c>
      <c r="D1392" s="2"/>
    </row>
    <row r="1393" spans="1:4" x14ac:dyDescent="0.2">
      <c r="A1393" s="2">
        <v>1390</v>
      </c>
      <c r="B1393" s="2" t="str">
        <f>"כפתור מגנט בינוני 1.8 ס""מ (12  במארז )"</f>
        <v>כפתור מגנט בינוני 1.8 ס"מ (12  במארז )</v>
      </c>
      <c r="C1393" s="7">
        <v>5.6110000000000007</v>
      </c>
      <c r="D1393" s="2"/>
    </row>
    <row r="1394" spans="1:4" x14ac:dyDescent="0.2">
      <c r="A1394" s="2">
        <v>1391</v>
      </c>
      <c r="B1394" s="2" t="str">
        <f>"סרט מגנט3 מ"</f>
        <v>סרט מגנט3 מ</v>
      </c>
      <c r="C1394" s="7">
        <v>7.1495000000000006</v>
      </c>
      <c r="D1394" s="2"/>
    </row>
    <row r="1395" spans="1:4" x14ac:dyDescent="0.2">
      <c r="A1395" s="2">
        <v>1392</v>
      </c>
      <c r="B1395" s="2" t="str">
        <f>"עיניים זזות15 מ''מ1/100"</f>
        <v>עיניים זזות15 מ''מ1/100</v>
      </c>
      <c r="C1395" s="7">
        <v>3.5747500000000003</v>
      </c>
      <c r="D1395" s="2"/>
    </row>
    <row r="1396" spans="1:4" x14ac:dyDescent="0.2">
      <c r="A1396" s="2">
        <v>1393</v>
      </c>
      <c r="B1396" s="2" t="str">
        <f>"נוצות פשוטות שקית קטנה12 גר'(חבילה)"</f>
        <v>נוצות פשוטות שקית קטנה12 גר'(חבילה)</v>
      </c>
      <c r="C1396" s="7">
        <v>1.9005000000000001</v>
      </c>
      <c r="D1396" s="2"/>
    </row>
    <row r="1397" spans="1:4" x14ac:dyDescent="0.2">
      <c r="A1397" s="2">
        <v>1394</v>
      </c>
      <c r="B1397" s="2" t="str">
        <f>"פלסטלינה צבעונית -400  גרם - ירוק דשא"</f>
        <v>פלסטלינה צבעונית -400  גרם - ירוק דשא</v>
      </c>
      <c r="C1397" s="7">
        <v>4.2444500000000005</v>
      </c>
      <c r="D1397" s="2"/>
    </row>
    <row r="1398" spans="1:4" x14ac:dyDescent="0.2">
      <c r="A1398" s="2">
        <v>1395</v>
      </c>
      <c r="B1398" s="2" t="str">
        <f>"פומפונים-50 1/4 יח 'מעורב צבעים"</f>
        <v>פומפונים-50 1/4 יח 'מעורב צבעים</v>
      </c>
      <c r="C1398" s="7">
        <v>1.6471</v>
      </c>
      <c r="D1398" s="2"/>
    </row>
    <row r="1399" spans="1:4" x14ac:dyDescent="0.2">
      <c r="A1399" s="2">
        <v>1396</v>
      </c>
      <c r="B1399" s="2" t="str">
        <f>"פומפונים1/2 אינץ50 יחידות מעורב צבעים"</f>
        <v>פומפונים1/2 אינץ50 יחידות מעורב צבעים</v>
      </c>
      <c r="C1399" s="7">
        <v>1.7738</v>
      </c>
      <c r="D1399" s="2"/>
    </row>
    <row r="1400" spans="1:4" x14ac:dyDescent="0.2">
      <c r="A1400" s="2">
        <v>1397</v>
      </c>
      <c r="B1400" s="2" t="str">
        <f>"חוט ברזל רך"</f>
        <v>חוט ברזל רך</v>
      </c>
      <c r="C1400" s="7">
        <v>7.24</v>
      </c>
      <c r="D1400" s="2"/>
    </row>
    <row r="1401" spans="1:4" x14ac:dyDescent="0.2">
      <c r="A1401" s="2">
        <v>1398</v>
      </c>
      <c r="B1401" s="2" t="str">
        <f>"קרטון כוורת ((200X100"</f>
        <v>קרטון כוורת ((200X100</v>
      </c>
      <c r="C1401" s="7">
        <v>71.79365</v>
      </c>
      <c r="D1401" s="2"/>
    </row>
    <row r="1402" spans="1:4" x14ac:dyDescent="0.2">
      <c r="A1402" s="2">
        <v>1399</v>
      </c>
      <c r="B1402" s="2" t="str">
        <f>"לוח קפה 5 ממ1.22X2.44"</f>
        <v>לוח קפה 5 ממ1.22X2.44</v>
      </c>
      <c r="C1402" s="7">
        <v>54.906350000000003</v>
      </c>
      <c r="D1402" s="2"/>
    </row>
    <row r="1403" spans="1:4" x14ac:dyDescent="0.2">
      <c r="A1403" s="2">
        <v>1400</v>
      </c>
      <c r="B1403" s="2" t="str">
        <f>"פלטה פלסטיק קטנה15418"</f>
        <v>פלטה פלסטיק קטנה15418</v>
      </c>
      <c r="C1403" s="7">
        <v>2.8960000000000004</v>
      </c>
      <c r="D1403" s="2"/>
    </row>
    <row r="1404" spans="1:4" x14ac:dyDescent="0.2">
      <c r="A1404" s="2">
        <v>1401</v>
      </c>
      <c r="B1404" s="2" t="str">
        <f>"חיתוכי סול צורות שונות (40 ג ')"</f>
        <v>חיתוכי סול צורות שונות (40 ג ')</v>
      </c>
      <c r="C1404" s="7">
        <v>4.1358500000000005</v>
      </c>
      <c r="D1404" s="2"/>
    </row>
    <row r="1405" spans="1:4" x14ac:dyDescent="0.2">
      <c r="A1405" s="2">
        <v>1402</v>
      </c>
      <c r="B1405" s="2" t="str">
        <f>"אטבי עץ מיני צבעוני- 45 מ''''מ -)  מארז )"</f>
        <v>אטבי עץ מיני צבעוני- 45 מ''''מ -)  מארז )</v>
      </c>
      <c r="C1405" s="7">
        <v>4.4345000000000008</v>
      </c>
      <c r="D1405" s="2"/>
    </row>
    <row r="1406" spans="1:4" x14ac:dyDescent="0.2">
      <c r="A1406" s="2">
        <v>1403</v>
      </c>
      <c r="B1406" s="2" t="str">
        <f>"נצנצים100 גר -'  אדום"</f>
        <v>נצנצים100 גר -'  אדום</v>
      </c>
      <c r="C1406" s="7">
        <v>3.8462499999999999</v>
      </c>
      <c r="D1406" s="2"/>
    </row>
    <row r="1407" spans="1:4" x14ac:dyDescent="0.2">
      <c r="A1407" s="2">
        <v>1404</v>
      </c>
      <c r="B1407" s="2" t="str">
        <f>"נצנצים100 גר -'  זהב"</f>
        <v>נצנצים100 גר -'  זהב</v>
      </c>
      <c r="C1407" s="7">
        <v>3.8462499999999999</v>
      </c>
      <c r="D1407" s="2"/>
    </row>
    <row r="1408" spans="1:4" x14ac:dyDescent="0.2">
      <c r="A1408" s="2">
        <v>1405</v>
      </c>
      <c r="B1408" s="2" t="str">
        <f>"נצנצים100 גר -'  כסף"</f>
        <v>נצנצים100 גר -'  כסף</v>
      </c>
      <c r="C1408" s="7">
        <v>3.8462499999999999</v>
      </c>
      <c r="D1408" s="2"/>
    </row>
    <row r="1409" spans="1:4" x14ac:dyDescent="0.2">
      <c r="A1409" s="2">
        <v>1406</v>
      </c>
      <c r="B1409" s="2" t="str">
        <f>"נצנצים100 גר'-  סגול"</f>
        <v>נצנצים100 גר'-  סגול</v>
      </c>
      <c r="C1409" s="7">
        <v>3.1041500000000002</v>
      </c>
      <c r="D1409" s="2"/>
    </row>
    <row r="1410" spans="1:4" x14ac:dyDescent="0.2">
      <c r="A1410" s="2">
        <v>1407</v>
      </c>
      <c r="B1410" s="2" t="str">
        <f>"יוטה טבעית 5 מטר"</f>
        <v>יוטה טבעית 5 מטר</v>
      </c>
      <c r="C1410" s="7">
        <v>28.869499999999999</v>
      </c>
      <c r="D1410" s="2"/>
    </row>
    <row r="1411" spans="1:4" x14ac:dyDescent="0.2">
      <c r="A1411" s="2">
        <v>1408</v>
      </c>
      <c r="B1411" s="2" t="str">
        <f>"כן ציור שולחני פשוט"</f>
        <v>כן ציור שולחני פשוט</v>
      </c>
      <c r="C1411" s="7">
        <v>28.869499999999999</v>
      </c>
      <c r="D1411" s="2"/>
    </row>
    <row r="1412" spans="1:4" x14ac:dyDescent="0.2">
      <c r="A1412" s="2">
        <v>1409</v>
      </c>
      <c r="B1412" s="2" t="str">
        <f>"כן ציור צר דגם 710"</f>
        <v>כן ציור צר דגם 710</v>
      </c>
      <c r="C1412" s="7">
        <v>53.395000000000003</v>
      </c>
      <c r="D1412" s="2"/>
    </row>
    <row r="1413" spans="1:4" x14ac:dyDescent="0.2">
      <c r="A1413" s="2">
        <v>1410</v>
      </c>
      <c r="B1413" s="2" t="str">
        <f>"כלי כיור6 יח15201"</f>
        <v>כלי כיור6 יח15201</v>
      </c>
      <c r="C1413" s="7">
        <v>10.769500000000001</v>
      </c>
      <c r="D1413" s="2"/>
    </row>
    <row r="1414" spans="1:4" x14ac:dyDescent="0.2">
      <c r="A1414" s="2">
        <v>1411</v>
      </c>
      <c r="B1414" s="2" t="str">
        <f>"פנדה ארטי * 12 עבה"</f>
        <v>פנדה ארטי * 12 עבה</v>
      </c>
      <c r="C1414" s="7">
        <v>2.8507500000000001</v>
      </c>
      <c r="D1414" s="2"/>
    </row>
    <row r="1415" spans="1:4" x14ac:dyDescent="0.2">
      <c r="A1415" s="2">
        <v>1412</v>
      </c>
      <c r="B1415" s="2" t="str">
        <f>"אקריליק סלוודור לבן220-200 מ''ל"</f>
        <v>אקריליק סלוודור לבן220-200 מ''ל</v>
      </c>
      <c r="C1415" s="7">
        <v>9.8645000000000014</v>
      </c>
      <c r="D1415" s="2"/>
    </row>
    <row r="1416" spans="1:4" x14ac:dyDescent="0.2">
      <c r="A1416" s="2">
        <v>1413</v>
      </c>
      <c r="B1416" s="2" t="str">
        <f>"אקריליק סלוודור צהב לימון220-300 מ''ל"</f>
        <v>אקריליק סלוודור צהב לימון220-300 מ''ל</v>
      </c>
      <c r="C1416" s="7">
        <v>9.8645000000000014</v>
      </c>
      <c r="D1416" s="2"/>
    </row>
    <row r="1417" spans="1:4" x14ac:dyDescent="0.2">
      <c r="A1417" s="2">
        <v>1414</v>
      </c>
      <c r="B1417" s="2" t="str">
        <f>"אקריליק סלוודור צהוב בהיר 220-305 מל"</f>
        <v>אקריליק סלוודור צהוב בהיר 220-305 מל</v>
      </c>
      <c r="C1417" s="7">
        <v>9.8645000000000014</v>
      </c>
      <c r="D1417" s="2"/>
    </row>
    <row r="1418" spans="1:4" x14ac:dyDescent="0.2">
      <c r="A1418" s="2">
        <v>1415</v>
      </c>
      <c r="B1418" s="2" t="str">
        <f>"אקריליק סלוודור צהב עמוק220-308 מ''ל"</f>
        <v>אקריליק סלוודור צהב עמוק220-308 מ''ל</v>
      </c>
      <c r="C1418" s="7">
        <v>9.8645000000000014</v>
      </c>
      <c r="D1418" s="2"/>
    </row>
    <row r="1419" spans="1:4" x14ac:dyDescent="0.2">
      <c r="A1419" s="2">
        <v>1416</v>
      </c>
      <c r="B1419" s="2" t="str">
        <f>"אקריליק סלוודור אוקר220-327 מ''ל"</f>
        <v>אקריליק סלוודור אוקר220-327 מ''ל</v>
      </c>
      <c r="C1419" s="7">
        <v>9.8645000000000014</v>
      </c>
      <c r="D1419" s="2"/>
    </row>
    <row r="1420" spans="1:4" x14ac:dyDescent="0.2">
      <c r="A1420" s="2">
        <v>1417</v>
      </c>
      <c r="B1420" s="2" t="str">
        <f>"אקריליק סלוודור כתום220-400 מ''ל"</f>
        <v>אקריליק סלוודור כתום220-400 מ''ל</v>
      </c>
      <c r="C1420" s="7">
        <v>9.8645000000000014</v>
      </c>
      <c r="D1420" s="2"/>
    </row>
    <row r="1421" spans="1:4" x14ac:dyDescent="0.2">
      <c r="A1421" s="2">
        <v>1418</v>
      </c>
      <c r="B1421" s="2" t="str">
        <f>"אקריליק סלוודור אדום עמוק220-407 מ''ל"</f>
        <v>אקריליק סלוודור אדום עמוק220-407 מ''ל</v>
      </c>
      <c r="C1421" s="7">
        <v>9.8645000000000014</v>
      </c>
      <c r="D1421" s="2"/>
    </row>
    <row r="1422" spans="1:4" x14ac:dyDescent="0.2">
      <c r="A1422" s="2">
        <v>1419</v>
      </c>
      <c r="B1422" s="2" t="str">
        <f>"אקריליק סלוודור אדום ורמיליון 220-408 מל"</f>
        <v>אקריליק סלוודור אדום ורמיליון 220-408 מל</v>
      </c>
      <c r="C1422" s="7">
        <v>9.8645000000000014</v>
      </c>
      <c r="D1422" s="2"/>
    </row>
    <row r="1423" spans="1:4" x14ac:dyDescent="0.2">
      <c r="A1423" s="2">
        <v>1420</v>
      </c>
      <c r="B1423" s="2" t="str">
        <f>"אקריליק סלוודור אדום עמוק פרמננט 220-410 מל"</f>
        <v>אקריליק סלוודור אדום עמוק פרמננט 220-410 מל</v>
      </c>
      <c r="C1423" s="7">
        <v>9.8645000000000014</v>
      </c>
      <c r="D1423" s="2"/>
    </row>
    <row r="1424" spans="1:4" x14ac:dyDescent="0.2">
      <c r="A1424" s="2">
        <v>1421</v>
      </c>
      <c r="B1424" s="2" t="str">
        <f>"אקריליק סלוודור אדום רוז 220-412 מל"</f>
        <v>אקריליק סלוודור אדום רוז 220-412 מל</v>
      </c>
      <c r="C1424" s="7">
        <v>9.8645000000000014</v>
      </c>
      <c r="D1424" s="2"/>
    </row>
    <row r="1425" spans="1:4" x14ac:dyDescent="0.2">
      <c r="A1425" s="2">
        <v>1422</v>
      </c>
      <c r="B1425" s="2" t="str">
        <f>"אקריליק סלוודור פנים פלש220-415 מ''ל"</f>
        <v>אקריליק סלוודור פנים פלש220-415 מ''ל</v>
      </c>
      <c r="C1425" s="7">
        <v>9.8645000000000014</v>
      </c>
      <c r="D1425" s="2"/>
    </row>
    <row r="1426" spans="1:4" x14ac:dyDescent="0.2">
      <c r="A1426" s="2">
        <v>1423</v>
      </c>
      <c r="B1426" s="2" t="str">
        <f>"אקריליק סלוודור סגול ויולט 220-500 מ""ל"</f>
        <v>אקריליק סלוודור סגול ויולט 220-500 מ"ל</v>
      </c>
      <c r="C1426" s="7">
        <v>9.8645000000000014</v>
      </c>
      <c r="D1426" s="2"/>
    </row>
    <row r="1427" spans="1:4" x14ac:dyDescent="0.2">
      <c r="A1427" s="2">
        <v>1424</v>
      </c>
      <c r="B1427" s="2" t="str">
        <f>"אקריליק סלוודור כחול אולטרה מרין 220-600 מ""ל"</f>
        <v>אקריליק סלוודור כחול אולטרה מרין 220-600 מ"ל</v>
      </c>
      <c r="C1427" s="7">
        <v>9.8645000000000014</v>
      </c>
      <c r="D1427" s="2"/>
    </row>
    <row r="1428" spans="1:4" x14ac:dyDescent="0.2">
      <c r="A1428" s="2">
        <v>1425</v>
      </c>
      <c r="B1428" s="2" t="str">
        <f>"אקריליק סלוודור כחול סרולין 220-603 מל"</f>
        <v>אקריליק סלוודור כחול סרולין 220-603 מל</v>
      </c>
      <c r="C1428" s="7">
        <v>9.8645000000000014</v>
      </c>
      <c r="D1428" s="2"/>
    </row>
    <row r="1429" spans="1:4" x14ac:dyDescent="0.2">
      <c r="A1429" s="2">
        <v>1426</v>
      </c>
      <c r="B1429" s="2" t="str">
        <f>"אקריליק סלוודור כחול קובלט220-604 מ''ל"</f>
        <v>אקריליק סלוודור כחול קובלט220-604 מ''ל</v>
      </c>
      <c r="C1429" s="7">
        <v>9.8645000000000014</v>
      </c>
      <c r="D1429" s="2"/>
    </row>
    <row r="1430" spans="1:4" x14ac:dyDescent="0.2">
      <c r="A1430" s="2">
        <v>1427</v>
      </c>
      <c r="B1430" s="2" t="str">
        <f>"אקריליק סלוודור טורקיז כחול220-608 מ''ל"</f>
        <v>אקריליק סלוודור טורקיז כחול220-608 מ''ל</v>
      </c>
      <c r="C1430" s="7">
        <v>9.8645000000000014</v>
      </c>
      <c r="D1430" s="2"/>
    </row>
    <row r="1431" spans="1:4" x14ac:dyDescent="0.2">
      <c r="A1431" s="2">
        <v>1428</v>
      </c>
      <c r="B1431" s="2" t="str">
        <f>"אקריליק סלוודור תכלת220-609 מ''ל"</f>
        <v>אקריליק סלוודור תכלת220-609 מ''ל</v>
      </c>
      <c r="C1431" s="7">
        <v>9.8645000000000014</v>
      </c>
      <c r="D1431" s="2"/>
    </row>
    <row r="1432" spans="1:4" x14ac:dyDescent="0.2">
      <c r="A1432" s="2">
        <v>1429</v>
      </c>
      <c r="B1432" s="2" t="str">
        <f>"אקריליק סלוודור ירוק פרמנט 220-703 מל"</f>
        <v>אקריליק סלוודור ירוק פרמנט 220-703 מל</v>
      </c>
      <c r="C1432" s="7">
        <v>9.8645000000000014</v>
      </c>
      <c r="D1432" s="2"/>
    </row>
    <row r="1433" spans="1:4" x14ac:dyDescent="0.2">
      <c r="A1433" s="2">
        <v>1430</v>
      </c>
      <c r="B1433" s="2" t="str">
        <f>"אקריליק סלוודור ירוק אמרלד220-704 מ''ל"</f>
        <v>אקריליק סלוודור ירוק אמרלד220-704 מ''ל</v>
      </c>
      <c r="C1433" s="7">
        <v>9.8645000000000014</v>
      </c>
      <c r="D1433" s="2"/>
    </row>
    <row r="1434" spans="1:4" x14ac:dyDescent="0.2">
      <c r="A1434" s="2">
        <v>1431</v>
      </c>
      <c r="B1434" s="2" t="str">
        <f>"אקריליק סלוודור ברנט סיינה חום220-800 מ''ל"</f>
        <v>אקריליק סלוודור ברנט סיינה חום220-800 מ''ל</v>
      </c>
      <c r="C1434" s="7">
        <v>9.8645000000000014</v>
      </c>
      <c r="D1434" s="2"/>
    </row>
    <row r="1435" spans="1:4" x14ac:dyDescent="0.2">
      <c r="A1435" s="2">
        <v>1432</v>
      </c>
      <c r="B1435" s="2" t="str">
        <f>"אקריליק סלוודור חום ברנט אנבר220-802 מ''ל"</f>
        <v>אקריליק סלוודור חום ברנט אנבר220-802 מ''ל</v>
      </c>
      <c r="C1435" s="7">
        <v>9.8645000000000014</v>
      </c>
      <c r="D1435" s="2"/>
    </row>
    <row r="1436" spans="1:4" x14ac:dyDescent="0.2">
      <c r="A1436" s="2">
        <v>1433</v>
      </c>
      <c r="B1436" s="2" t="str">
        <f>"אקריליק סלוודור שחור איבורי220-900 מ''ל*"</f>
        <v>אקריליק סלוודור שחור איבורי220-900 מ''ל*</v>
      </c>
      <c r="C1436" s="7">
        <v>9.8645000000000014</v>
      </c>
      <c r="D1436" s="2"/>
    </row>
    <row r="1437" spans="1:4" x14ac:dyDescent="0.2">
      <c r="A1437" s="2">
        <v>1434</v>
      </c>
      <c r="B1437" s="2" t="str">
        <f>"אקריליק סלוודור ירוק פטלו  220-706 מל"</f>
        <v>אקריליק סלוודור ירוק פטלו  220-706 מל</v>
      </c>
      <c r="C1437" s="7">
        <v>9.8645000000000014</v>
      </c>
      <c r="D1437" s="2"/>
    </row>
    <row r="1438" spans="1:4" x14ac:dyDescent="0.2">
      <c r="A1438" s="2">
        <v>1435</v>
      </c>
      <c r="B1438" s="2" t="str">
        <f>"סט עפר' מים 240 24  24"</f>
        <v>סט עפר' מים 240 24  24</v>
      </c>
      <c r="C1438" s="7">
        <v>40.634500000000003</v>
      </c>
      <c r="D1438" s="2"/>
    </row>
    <row r="1439" spans="1:4" x14ac:dyDescent="0.2">
      <c r="A1439" s="2">
        <v>1436</v>
      </c>
      <c r="B1439" s="2" t="str">
        <f>"סט צבעי עפרון 24 *אקוורל/צבעוני- קריאטה קולור"</f>
        <v>סט צבעי עפרון 24 *אקוורל/צבעוני- קריאטה קולור</v>
      </c>
      <c r="C1439" s="7">
        <v>22.625</v>
      </c>
      <c r="D1439" s="2"/>
    </row>
    <row r="1440" spans="1:4" x14ac:dyDescent="0.2">
      <c r="A1440" s="2">
        <v>1437</v>
      </c>
      <c r="B1440" s="2" t="str">
        <f>"פסטל שמן מקצועי ""סקורה""49  שחור ( פנדה )12  יח'"</f>
        <v>פסטל שמן מקצועי "סקורה"49  שחור ( פנדה )12  יח'</v>
      </c>
      <c r="C1440" s="7">
        <v>25.249500000000001</v>
      </c>
      <c r="D1440" s="2"/>
    </row>
    <row r="1441" spans="1:4" x14ac:dyDescent="0.2">
      <c r="A1441" s="2">
        <v>1438</v>
      </c>
      <c r="B1441" s="2" t="str">
        <f>"מחק פחם מקצועי - קראטה קולור"</f>
        <v>מחק פחם מקצועי - קראטה קולור</v>
      </c>
      <c r="C1441" s="7">
        <v>10.86</v>
      </c>
      <c r="D1441" s="2"/>
    </row>
    <row r="1442" spans="1:4" x14ac:dyDescent="0.2">
      <c r="A1442" s="2">
        <v>1439</v>
      </c>
      <c r="B1442" s="2" t="str">
        <f>"סט עפר' צבעוני 270 12 12"</f>
        <v>סט עפר' צבעוני 270 12 12</v>
      </c>
      <c r="C1442" s="7">
        <v>54.906350000000003</v>
      </c>
      <c r="D1442" s="2"/>
    </row>
    <row r="1443" spans="1:4" x14ac:dyDescent="0.2">
      <c r="A1443" s="2">
        <v>1440</v>
      </c>
      <c r="B1443" s="2" t="str">
        <f>"סט מכח סינ עגול6 יח(7290001157350) 20128 7.9.11."</f>
        <v>סט מכח סינ עגול6 יח(7290001157350) 20128 7.9.11.</v>
      </c>
      <c r="C1443" s="7">
        <v>30.408000000000001</v>
      </c>
      <c r="D1443" s="2"/>
    </row>
    <row r="1444" spans="1:4" x14ac:dyDescent="0.2">
      <c r="A1444" s="2">
        <v>1441</v>
      </c>
      <c r="B1444" s="2" t="str">
        <f>"נייר ניגוב ידיים סלים רול 150מ' - ( 6יח ')"</f>
        <v>נייר ניגוב ידיים סלים רול 150מ' - ( 6יח ')</v>
      </c>
      <c r="C1444" s="7">
        <v>65.16</v>
      </c>
      <c r="D1444" s="2"/>
    </row>
    <row r="1445" spans="1:4" x14ac:dyDescent="0.2">
      <c r="A1445" s="2">
        <v>1442</v>
      </c>
      <c r="B1445" s="2" t="str">
        <f>"סט 24 יח' אקר'12  מ""ל ""טלנס""-9011724M"</f>
        <v>סט 24 יח' אקר'12  מ"ל "טלנס"-9011724M</v>
      </c>
      <c r="C1445" s="7">
        <v>44.797499999999999</v>
      </c>
      <c r="D1445" s="2"/>
    </row>
    <row r="1446" spans="1:4" x14ac:dyDescent="0.2">
      <c r="A1446" s="2">
        <v>1443</v>
      </c>
      <c r="B1446" s="2" t="str">
        <f>"סט 24 יח' מים 12 מ""ל ""טלנס""-9012024M"</f>
        <v>סט 24 יח' מים 12 מ"ל "טלנס"-9012024M</v>
      </c>
      <c r="C1446" s="7">
        <v>44.797499999999999</v>
      </c>
      <c r="D1446" s="2"/>
    </row>
    <row r="1447" spans="1:4" x14ac:dyDescent="0.2">
      <c r="A1447" s="2">
        <v>1444</v>
      </c>
      <c r="B1447" s="2" t="str">
        <f>"סט48 צבעי פנדה אוריגינל"</f>
        <v>סט48 צבעי פנדה אוריגינל</v>
      </c>
      <c r="C1447" s="7">
        <v>30.317500000000003</v>
      </c>
      <c r="D1447" s="2"/>
    </row>
    <row r="1448" spans="1:4" x14ac:dyDescent="0.2">
      <c r="A1448" s="2">
        <v>1445</v>
      </c>
      <c r="B1448" s="2" t="str">
        <f>"אבני פסיפס מרובעים שקוף צבעוני  פלסטיק 200 גרם ח"</f>
        <v>אבני פסיפס מרובעים שקוף צבעוני  פלסטיק 200 גרם ח</v>
      </c>
      <c r="C1448" s="7">
        <v>17.104499999999998</v>
      </c>
      <c r="D1448" s="2"/>
    </row>
    <row r="1449" spans="1:4" x14ac:dyDescent="0.2">
      <c r="A1449" s="2">
        <v>1446</v>
      </c>
      <c r="B1449" s="2" t="str">
        <f>"גליל אל-בד25 מטר אפור"</f>
        <v>גליל אל-בד25 מטר אפור</v>
      </c>
      <c r="C1449" s="7">
        <v>17.738000000000003</v>
      </c>
      <c r="D1449" s="2"/>
    </row>
    <row r="1450" spans="1:4" x14ac:dyDescent="0.2">
      <c r="A1450" s="2">
        <v>1447</v>
      </c>
      <c r="B1450" s="2" t="str">
        <f>"גליל אל-בד25 מטר בז')  מס( 32"</f>
        <v>גליל אל-בד25 מטר בז')  מס( 32</v>
      </c>
      <c r="C1450" s="7">
        <v>17.738000000000003</v>
      </c>
      <c r="D1450" s="2"/>
    </row>
    <row r="1451" spans="1:4" x14ac:dyDescent="0.2">
      <c r="A1451" s="2">
        <v>1448</v>
      </c>
      <c r="B1451" s="2" t="str">
        <f>"גליל אל-בד 25 מטר זהב"</f>
        <v>גליל אל-בד 25 מטר זהב</v>
      </c>
      <c r="C1451" s="7">
        <v>17.738000000000003</v>
      </c>
      <c r="D1451" s="2"/>
    </row>
    <row r="1452" spans="1:4" x14ac:dyDescent="0.2">
      <c r="A1452" s="2">
        <v>1449</v>
      </c>
      <c r="B1452" s="2" t="str">
        <f>"גליל אל-בד25 מטר פרחוני (מס( 80"</f>
        <v>גליל אל-בד25 מטר פרחוני (מס( 80</v>
      </c>
      <c r="C1452" s="7">
        <v>17.738000000000003</v>
      </c>
      <c r="D1452" s="2"/>
    </row>
    <row r="1453" spans="1:4" x14ac:dyDescent="0.2">
      <c r="A1453" s="2">
        <v>1450</v>
      </c>
      <c r="B1453" s="2" t="str">
        <f>"גליל אל-בד25 מטר שנהב"</f>
        <v>גליל אל-בד25 מטר שנהב</v>
      </c>
      <c r="C1453" s="7">
        <v>17.738000000000003</v>
      </c>
      <c r="D1453" s="2"/>
    </row>
    <row r="1454" spans="1:4" x14ac:dyDescent="0.2">
      <c r="A1454" s="2">
        <v>1451</v>
      </c>
      <c r="B1454" s="2" t="str">
        <f>"בד לבד20*30 מעורב צבעים (10 יח')"</f>
        <v>בד לבד20*30 מעורב צבעים (10 יח')</v>
      </c>
      <c r="C1454" s="7">
        <v>8.0545000000000009</v>
      </c>
      <c r="D1454" s="2"/>
    </row>
    <row r="1455" spans="1:4" x14ac:dyDescent="0.2">
      <c r="A1455" s="2">
        <v>1452</v>
      </c>
      <c r="B1455" s="2" t="str">
        <f>"חרוז פלסטיק קטן חב"</f>
        <v>חרוז פלסטיק קטן חב</v>
      </c>
      <c r="C1455" s="7">
        <v>7.9640000000000013</v>
      </c>
      <c r="D1455" s="2"/>
    </row>
    <row r="1456" spans="1:4" x14ac:dyDescent="0.2">
      <c r="A1456" s="2">
        <v>1453</v>
      </c>
      <c r="B1456" s="2" t="str">
        <f>"יעה +מוט"</f>
        <v>יעה +מוט</v>
      </c>
      <c r="C1456" s="7">
        <v>4.7060000000000004</v>
      </c>
      <c r="D1456" s="2"/>
    </row>
    <row r="1457" spans="1:4" x14ac:dyDescent="0.2">
      <c r="A1457" s="2">
        <v>1454</v>
      </c>
      <c r="B1457" s="2" t="str">
        <f>"כדורי קלקר3 ס''מ100 יח'"</f>
        <v>כדורי קלקר3 ס''מ100 יח'</v>
      </c>
      <c r="C1457" s="7">
        <v>12.0365</v>
      </c>
      <c r="D1457" s="2"/>
    </row>
    <row r="1458" spans="1:4" x14ac:dyDescent="0.2">
      <c r="A1458" s="2">
        <v>1455</v>
      </c>
      <c r="B1458" s="2" t="str">
        <f>"כפפות גומי גודלM"</f>
        <v>כפפות גומי גודלM</v>
      </c>
      <c r="C1458" s="7">
        <v>1.629</v>
      </c>
      <c r="D1458" s="2"/>
    </row>
    <row r="1459" spans="1:4" x14ac:dyDescent="0.2">
      <c r="A1459" s="2">
        <v>1456</v>
      </c>
      <c r="B1459" s="2" t="str">
        <f>"כפפות גומי גודלXL"</f>
        <v>כפפות גומי גודלXL</v>
      </c>
      <c r="C1459" s="7">
        <v>1.4480000000000002</v>
      </c>
      <c r="D1459" s="2"/>
    </row>
    <row r="1460" spans="1:4" x14ac:dyDescent="0.2">
      <c r="A1460" s="2">
        <v>1457</v>
      </c>
      <c r="B1460" s="2" t="str">
        <f>"כפפות לטקס עם אבקה (מנתחים)100  יח 'גודלM"</f>
        <v>כפפות לטקס עם אבקה (מנתחים)100  יח 'גודלM</v>
      </c>
      <c r="C1460" s="7">
        <v>8.9595000000000002</v>
      </c>
      <c r="D1460" s="2"/>
    </row>
    <row r="1461" spans="1:4" x14ac:dyDescent="0.2">
      <c r="A1461" s="2">
        <v>1458</v>
      </c>
      <c r="B1461" s="2" t="str">
        <f>"כפפות לטקס עם אבקה (מנתחים)100 יח' גודלXL"</f>
        <v>כפפות לטקס עם אבקה (מנתחים)100 יח' גודלXL</v>
      </c>
      <c r="C1461" s="7">
        <v>8.9595000000000002</v>
      </c>
      <c r="D1461" s="2"/>
    </row>
    <row r="1462" spans="1:4" x14ac:dyDescent="0.2">
      <c r="A1462" s="2">
        <v>1459</v>
      </c>
      <c r="B1462" s="2" t="str">
        <f>"מברשת לשרותים עם מתקן"</f>
        <v>מברשת לשרותים עם מתקן</v>
      </c>
      <c r="C1462" s="7">
        <v>3.5295000000000001</v>
      </c>
      <c r="D1462" s="2"/>
    </row>
    <row r="1463" spans="1:4" x14ac:dyDescent="0.2">
      <c r="A1463" s="2">
        <v>1460</v>
      </c>
      <c r="B1463" s="2" t="str">
        <f>"מגב מתכת כחול40 ס''מ (ללא מקל)"</f>
        <v>מגב מתכת כחול40 ס''מ (ללא מקל)</v>
      </c>
      <c r="C1463" s="7">
        <v>5.9729999999999999</v>
      </c>
      <c r="D1463" s="2"/>
    </row>
    <row r="1464" spans="1:4" x14ac:dyDescent="0.2">
      <c r="A1464" s="2">
        <v>1461</v>
      </c>
      <c r="B1464" s="2" t="str">
        <f>"מגב מתכת כחול60 סמ ''( ללא מקל )"</f>
        <v>מגב מתכת כחול60 סמ ''( ללא מקל )</v>
      </c>
      <c r="C1464" s="7">
        <v>7.4209999999999994</v>
      </c>
      <c r="D1464" s="2"/>
    </row>
    <row r="1465" spans="1:4" x14ac:dyDescent="0.2">
      <c r="A1465" s="2">
        <v>1462</v>
      </c>
      <c r="B1465" s="2" t="str">
        <f>"מדבקה זרחני מעורב32 דף10 ממ"</f>
        <v>מדבקה זרחני מעורב32 דף10 ממ</v>
      </c>
      <c r="C1465" s="7">
        <v>7.9278000000000004</v>
      </c>
      <c r="D1465" s="2"/>
    </row>
    <row r="1466" spans="1:4" x14ac:dyDescent="0.2">
      <c r="A1466" s="2">
        <v>1463</v>
      </c>
      <c r="B1466" s="2" t="str">
        <f>"מטלית ריצפה מיקרופייבר50/70 צבעוני"</f>
        <v>מטלית ריצפה מיקרופייבר50/70 צבעוני</v>
      </c>
      <c r="C1466" s="7">
        <v>2.6244999999999998</v>
      </c>
      <c r="D1466" s="2"/>
    </row>
    <row r="1467" spans="1:4" x14ac:dyDescent="0.2">
      <c r="A1467" s="2">
        <v>1464</v>
      </c>
      <c r="B1467" s="2" t="str">
        <f>"מילוי למתקן בריחות מעורבים"</f>
        <v>מילוי למתקן בריחות מעורבים</v>
      </c>
      <c r="C1467" s="7">
        <v>6.0635000000000003</v>
      </c>
      <c r="D1467" s="2"/>
    </row>
    <row r="1468" spans="1:4" x14ac:dyDescent="0.2">
      <c r="A1468" s="2">
        <v>1465</v>
      </c>
      <c r="B1468" s="2" t="str">
        <f>"מתקן לסבון נוזלי זופל 900 סמק"</f>
        <v>מתקן לסבון נוזלי זופל 900 סמק</v>
      </c>
      <c r="C1468" s="7">
        <v>45.25</v>
      </c>
      <c r="D1468" s="2"/>
    </row>
    <row r="1469" spans="1:4" x14ac:dyDescent="0.2">
      <c r="A1469" s="2">
        <v>1466</v>
      </c>
      <c r="B1469" s="2" t="str">
        <f>"מתקן ריח לשירותים עם קוצב זמן"</f>
        <v>מתקן ריח לשירותים עם קוצב זמן</v>
      </c>
      <c r="C1469" s="7">
        <v>29.865000000000002</v>
      </c>
      <c r="D1469" s="2"/>
    </row>
    <row r="1470" spans="1:4" x14ac:dyDescent="0.2">
      <c r="A1470" s="2">
        <v>1467</v>
      </c>
      <c r="B1470" s="2" t="str">
        <f>"נייר טואלט צץ רץ דו שכבתי 9000 בקרטון"</f>
        <v>נייר טואלט צץ רץ דו שכבתי 9000 בקרטון</v>
      </c>
      <c r="C1470" s="7">
        <v>58.825000000000003</v>
      </c>
      <c r="D1470" s="2"/>
    </row>
    <row r="1471" spans="1:4" x14ac:dyDescent="0.2">
      <c r="A1471" s="2">
        <v>1468</v>
      </c>
      <c r="B1471" s="2" t="str">
        <f>"נייר צלופן ארוז (15  יח'- (  מעורב"</f>
        <v>נייר צלופן ארוז (15  יח'- (  מעורב</v>
      </c>
      <c r="C1471" s="7">
        <v>9.5024999999999995</v>
      </c>
      <c r="D1471" s="2"/>
    </row>
    <row r="1472" spans="1:4" x14ac:dyDescent="0.2">
      <c r="A1472" s="2">
        <v>1469</v>
      </c>
      <c r="B1472" s="2" t="str">
        <f>"נייר קרפ זרחני צבעוני 5 יח"</f>
        <v>נייר קרפ זרחני צבעוני 5 יח</v>
      </c>
      <c r="C1472" s="7">
        <v>11.222000000000001</v>
      </c>
      <c r="D1472" s="2"/>
    </row>
    <row r="1473" spans="1:4" x14ac:dyDescent="0.2">
      <c r="A1473" s="2">
        <v>1470</v>
      </c>
      <c r="B1473" s="2" t="str">
        <f>"מטלית לרצפה50/90 גדול"</f>
        <v>מטלית לרצפה50/90 גדול</v>
      </c>
      <c r="C1473" s="7">
        <v>1.7195</v>
      </c>
      <c r="D1473" s="2"/>
    </row>
    <row r="1474" spans="1:4" x14ac:dyDescent="0.2">
      <c r="A1474" s="2">
        <v>1471</v>
      </c>
      <c r="B1474" s="2" t="str">
        <f>"גליל מטליות ניגוב סנו (40  יח'("</f>
        <v>גליל מטליות ניגוב סנו (40  יח'(</v>
      </c>
      <c r="C1474" s="7">
        <v>20.815000000000001</v>
      </c>
      <c r="D1474" s="2"/>
    </row>
    <row r="1475" spans="1:4" x14ac:dyDescent="0.2">
      <c r="A1475" s="2">
        <v>1472</v>
      </c>
      <c r="B1475" s="2" t="str">
        <f>"ספריי צבע ורוד"</f>
        <v>ספריי צבע ורוד</v>
      </c>
      <c r="C1475" s="7">
        <v>6.2445000000000004</v>
      </c>
      <c r="D1475" s="2"/>
    </row>
    <row r="1476" spans="1:4" x14ac:dyDescent="0.2">
      <c r="A1476" s="2">
        <v>1473</v>
      </c>
      <c r="B1476" s="2" t="str">
        <f>"ספריי צבע חום"</f>
        <v>ספריי צבע חום</v>
      </c>
      <c r="C1476" s="7">
        <v>6.2445000000000004</v>
      </c>
      <c r="D1476" s="2"/>
    </row>
    <row r="1477" spans="1:4" x14ac:dyDescent="0.2">
      <c r="A1477" s="2">
        <v>1474</v>
      </c>
      <c r="B1477" s="2" t="str">
        <f>"ספריי צבע כתום"</f>
        <v>ספריי צבע כתום</v>
      </c>
      <c r="C1477" s="7">
        <v>6.2445000000000004</v>
      </c>
      <c r="D1477" s="2"/>
    </row>
    <row r="1478" spans="1:4" x14ac:dyDescent="0.2">
      <c r="A1478" s="2">
        <v>1475</v>
      </c>
      <c r="B1478" s="2" t="str">
        <f>"ספריי צבע סגול"</f>
        <v>ספריי צבע סגול</v>
      </c>
      <c r="C1478" s="7">
        <v>6.2445000000000004</v>
      </c>
      <c r="D1478" s="2"/>
    </row>
    <row r="1479" spans="1:4" x14ac:dyDescent="0.2">
      <c r="A1479" s="2">
        <v>1476</v>
      </c>
      <c r="B1479" s="2" t="str">
        <f>"ספריי צבע תכלת"</f>
        <v>ספריי צבע תכלת</v>
      </c>
      <c r="C1479" s="7">
        <v>6.2445000000000004</v>
      </c>
      <c r="D1479" s="2"/>
    </row>
    <row r="1480" spans="1:4" x14ac:dyDescent="0.2">
      <c r="A1480" s="2">
        <v>1477</v>
      </c>
      <c r="B1480" s="2" t="str">
        <f>"סרט אריזה למתנות צר 5 ממ ורוד"</f>
        <v>סרט אריזה למתנות צר 5 ממ ורוד</v>
      </c>
      <c r="C1480" s="7">
        <v>5.7015000000000002</v>
      </c>
      <c r="D1480" s="2"/>
    </row>
    <row r="1481" spans="1:4" x14ac:dyDescent="0.2">
      <c r="A1481" s="2">
        <v>1478</v>
      </c>
      <c r="B1481" s="2" t="str">
        <f>"סרט אריזה למתנות צר 5 ממ זהב"</f>
        <v>סרט אריזה למתנות צר 5 ממ זהב</v>
      </c>
      <c r="C1481" s="7">
        <v>5.7015000000000002</v>
      </c>
      <c r="D1481" s="2"/>
    </row>
    <row r="1482" spans="1:4" x14ac:dyDescent="0.2">
      <c r="A1482" s="2">
        <v>1479</v>
      </c>
      <c r="B1482" s="2" t="str">
        <f>"סרט אריזה למתנות צר 5 ממ כחול*"</f>
        <v>סרט אריזה למתנות צר 5 ממ כחול*</v>
      </c>
      <c r="C1482" s="7">
        <v>5.7015000000000002</v>
      </c>
      <c r="D1482" s="2"/>
    </row>
    <row r="1483" spans="1:4" x14ac:dyDescent="0.2">
      <c r="A1483" s="2">
        <v>1480</v>
      </c>
      <c r="B1483" s="2" t="str">
        <f>"סרט אריזה למתנות צר 5 ממ כסף"</f>
        <v>סרט אריזה למתנות צר 5 ממ כסף</v>
      </c>
      <c r="C1483" s="7">
        <v>5.7015000000000002</v>
      </c>
      <c r="D1483" s="2"/>
    </row>
    <row r="1484" spans="1:4" x14ac:dyDescent="0.2">
      <c r="A1484" s="2">
        <v>1481</v>
      </c>
      <c r="B1484" s="2" t="str">
        <f>"סרט אריזה למתנות צר 5 ממ לבן"</f>
        <v>סרט אריזה למתנות צר 5 ממ לבן</v>
      </c>
      <c r="C1484" s="7">
        <v>5.7015000000000002</v>
      </c>
      <c r="D1484" s="2"/>
    </row>
    <row r="1485" spans="1:4" x14ac:dyDescent="0.2">
      <c r="A1485" s="2">
        <v>1482</v>
      </c>
      <c r="B1485" s="2" t="str">
        <f>"סרט אריזה למתנות צר 5 ממ סגול"</f>
        <v>סרט אריזה למתנות צר 5 ממ סגול</v>
      </c>
      <c r="C1485" s="7">
        <v>5.7015000000000002</v>
      </c>
      <c r="D1485" s="2"/>
    </row>
    <row r="1486" spans="1:4" x14ac:dyDescent="0.2">
      <c r="A1486" s="2">
        <v>1483</v>
      </c>
      <c r="B1486" s="2" t="str">
        <f>"עיניים זזות גודל  10 ממ חבילה 001 יח"</f>
        <v>עיניים זזות גודל  10 ממ חבילה 001 יח</v>
      </c>
      <c r="C1486" s="7">
        <v>3.4390000000000001</v>
      </c>
      <c r="D1486" s="2"/>
    </row>
    <row r="1487" spans="1:4" x14ac:dyDescent="0.2">
      <c r="A1487" s="2">
        <v>1484</v>
      </c>
      <c r="B1487" s="2" t="str">
        <f>"עיניים זזות גודל 20 ממ חבילה 100 יח"</f>
        <v>עיניים זזות גודל 20 ממ חבילה 100 יח</v>
      </c>
      <c r="C1487" s="7">
        <v>5.3395000000000001</v>
      </c>
      <c r="D1487" s="2"/>
    </row>
    <row r="1488" spans="1:4" x14ac:dyDescent="0.2">
      <c r="A1488" s="2">
        <v>1485</v>
      </c>
      <c r="B1488" s="2" t="str">
        <f>"פלסטלינה  מעורב צ400 גר'12)  -  יח' בקרטון)"</f>
        <v>פלסטלינה  מעורב צ400 גר'12)  -  יח' בקרטון)</v>
      </c>
      <c r="C1488" s="7">
        <v>44.344999999999999</v>
      </c>
      <c r="D1488" s="2"/>
    </row>
    <row r="1489" spans="1:4" x14ac:dyDescent="0.2">
      <c r="A1489" s="2">
        <v>1486</v>
      </c>
      <c r="B1489" s="2" t="str">
        <f>"צמר אדום"</f>
        <v>צמר אדום</v>
      </c>
      <c r="C1489" s="7">
        <v>5.3847500000000004</v>
      </c>
      <c r="D1489" s="2"/>
    </row>
    <row r="1490" spans="1:4" x14ac:dyDescent="0.2">
      <c r="A1490" s="2">
        <v>1487</v>
      </c>
      <c r="B1490" s="2" t="str">
        <f>"צמר ורוד בהיר"</f>
        <v>צמר ורוד בהיר</v>
      </c>
      <c r="C1490" s="7">
        <v>5.3847500000000004</v>
      </c>
      <c r="D1490" s="2"/>
    </row>
    <row r="1491" spans="1:4" x14ac:dyDescent="0.2">
      <c r="A1491" s="2">
        <v>1488</v>
      </c>
      <c r="B1491" s="2" t="str">
        <f>"צמר טורקיז"</f>
        <v>צמר טורקיז</v>
      </c>
      <c r="C1491" s="7">
        <v>5.3847500000000004</v>
      </c>
      <c r="D1491" s="2"/>
    </row>
    <row r="1492" spans="1:4" x14ac:dyDescent="0.2">
      <c r="A1492" s="2">
        <v>1489</v>
      </c>
      <c r="B1492" s="2" t="str">
        <f>"צמר ירוק כהה"</f>
        <v>צמר ירוק כהה</v>
      </c>
      <c r="C1492" s="7">
        <v>5.3847500000000004</v>
      </c>
      <c r="D1492" s="2"/>
    </row>
    <row r="1493" spans="1:4" x14ac:dyDescent="0.2">
      <c r="A1493" s="2">
        <v>1490</v>
      </c>
      <c r="B1493" s="2" t="str">
        <f>"צמר כחול"</f>
        <v>צמר כחול</v>
      </c>
      <c r="C1493" s="7">
        <v>5.3847500000000004</v>
      </c>
      <c r="D1493" s="2"/>
    </row>
    <row r="1494" spans="1:4" x14ac:dyDescent="0.2">
      <c r="A1494" s="2">
        <v>1491</v>
      </c>
      <c r="B1494" s="2" t="str">
        <f>"צמר כתום"</f>
        <v>צמר כתום</v>
      </c>
      <c r="C1494" s="7">
        <v>5.3847500000000004</v>
      </c>
      <c r="D1494" s="2"/>
    </row>
    <row r="1495" spans="1:4" x14ac:dyDescent="0.2">
      <c r="A1495" s="2">
        <v>1492</v>
      </c>
      <c r="B1495" s="2" t="str">
        <f>"צמר לבן"</f>
        <v>צמר לבן</v>
      </c>
      <c r="C1495" s="7">
        <v>5.3847500000000004</v>
      </c>
      <c r="D1495" s="2"/>
    </row>
    <row r="1496" spans="1:4" x14ac:dyDescent="0.2">
      <c r="A1496" s="2">
        <v>1493</v>
      </c>
      <c r="B1496" s="2" t="str">
        <f>"צמר סגול"</f>
        <v>צמר סגול</v>
      </c>
      <c r="C1496" s="7">
        <v>5.3847500000000004</v>
      </c>
      <c r="D1496" s="2"/>
    </row>
    <row r="1497" spans="1:4" x14ac:dyDescent="0.2">
      <c r="A1497" s="2">
        <v>1494</v>
      </c>
      <c r="B1497" s="2" t="str">
        <f>"צמר צהוב"</f>
        <v>צמר צהוב</v>
      </c>
      <c r="C1497" s="7">
        <v>5.3847500000000004</v>
      </c>
      <c r="D1497" s="2"/>
    </row>
    <row r="1498" spans="1:4" x14ac:dyDescent="0.2">
      <c r="A1498" s="2">
        <v>1495</v>
      </c>
      <c r="B1498" s="2" t="str">
        <f>"צמר שחור*"</f>
        <v>צמר שחור*</v>
      </c>
      <c r="C1498" s="7">
        <v>5.3847500000000004</v>
      </c>
      <c r="D1498" s="2"/>
    </row>
    <row r="1499" spans="1:4" x14ac:dyDescent="0.2">
      <c r="A1499" s="2">
        <v>1496</v>
      </c>
      <c r="B1499" s="2" t="str">
        <f>"צמר תכלת"</f>
        <v>צמר תכלת</v>
      </c>
      <c r="C1499" s="7">
        <v>5.3847500000000004</v>
      </c>
      <c r="D1499" s="2"/>
    </row>
    <row r="1500" spans="1:4" x14ac:dyDescent="0.2">
      <c r="A1500" s="2">
        <v>1497</v>
      </c>
      <c r="B1500" s="2" t="str">
        <f>"נוזל רצפות ריחני 4 ליטר"</f>
        <v>נוזל רצפות ריחני 4 ליטר</v>
      </c>
      <c r="C1500" s="7">
        <v>6.7875000000000005</v>
      </c>
      <c r="D1500" s="2"/>
    </row>
    <row r="1501" spans="1:4" x14ac:dyDescent="0.2">
      <c r="A1501" s="2">
        <v>1498</v>
      </c>
      <c r="B1501" s="2" t="str">
        <f>"תיק מעטפה פלסטי סגר תיק תק אדום"</f>
        <v>תיק מעטפה פלסטי סגר תיק תק אדום</v>
      </c>
      <c r="C1501" s="7">
        <v>1.49325</v>
      </c>
      <c r="D1501" s="2"/>
    </row>
    <row r="1502" spans="1:4" x14ac:dyDescent="0.2">
      <c r="A1502" s="2">
        <v>1499</v>
      </c>
      <c r="B1502" s="2" t="str">
        <f>"תיק מעטפה פלסטי סגר תיק תק ירוק"</f>
        <v>תיק מעטפה פלסטי סגר תיק תק ירוק</v>
      </c>
      <c r="C1502" s="7">
        <v>1.49325</v>
      </c>
      <c r="D1502" s="2"/>
    </row>
    <row r="1503" spans="1:4" x14ac:dyDescent="0.2">
      <c r="A1503" s="2">
        <v>1500</v>
      </c>
      <c r="B1503" s="2" t="str">
        <f>"תיק מעטפה פלסטי סגר תיק תק כחול"</f>
        <v>תיק מעטפה פלסטי סגר תיק תק כחול</v>
      </c>
      <c r="C1503" s="7">
        <v>1.49325</v>
      </c>
      <c r="D1503" s="2"/>
    </row>
    <row r="1504" spans="1:4" x14ac:dyDescent="0.2">
      <c r="A1504" s="2">
        <v>1501</v>
      </c>
      <c r="B1504" s="2" t="str">
        <f>"תיק מעטפה פלסטי סגר תיק תק צהוב"</f>
        <v>תיק מעטפה פלסטי סגר תיק תק צהוב</v>
      </c>
      <c r="C1504" s="7">
        <v>1.49325</v>
      </c>
      <c r="D1504" s="2"/>
    </row>
    <row r="1505" spans="1:4" x14ac:dyDescent="0.2">
      <c r="A1505" s="2">
        <v>1502</v>
      </c>
      <c r="B1505" s="2" t="str">
        <f>"נייר ציור120 גרם1/4 גליון50/35 סמ ''(250 יח )"</f>
        <v>נייר ציור120 גרם1/4 גליון50/35 סמ ''(250 יח )</v>
      </c>
      <c r="C1505" s="7">
        <v>47.512500000000003</v>
      </c>
      <c r="D1505" s="2"/>
    </row>
    <row r="1506" spans="1:4" x14ac:dyDescent="0.2">
      <c r="A1506" s="2">
        <v>1503</v>
      </c>
      <c r="B1506" s="2" t="str">
        <f>"כפפות גומי גודלL"</f>
        <v>כפפות גומי גודלL</v>
      </c>
      <c r="C1506" s="7">
        <v>1.629</v>
      </c>
      <c r="D1506" s="2"/>
    </row>
    <row r="1507" spans="1:4" x14ac:dyDescent="0.2">
      <c r="A1507" s="2">
        <v>1504</v>
      </c>
      <c r="B1507" s="2" t="str">
        <f>"קרטון ביצוע1/2 גליון (25 יח')"</f>
        <v>קרטון ביצוע1/2 גליון (25 יח')</v>
      </c>
      <c r="C1507" s="7">
        <v>55.956150000000001</v>
      </c>
      <c r="D1507" s="2"/>
    </row>
    <row r="1508" spans="1:4" x14ac:dyDescent="0.2">
      <c r="A1508" s="2">
        <v>1505</v>
      </c>
      <c r="B1508" s="2" t="str">
        <f>"קרטון ביצועA4 ארוז (25 יח')"</f>
        <v>קרטון ביצועA4 ארוז (25 יח')</v>
      </c>
      <c r="C1508" s="7">
        <v>11.584000000000001</v>
      </c>
      <c r="D1508" s="2"/>
    </row>
    <row r="1509" spans="1:4" x14ac:dyDescent="0.2">
      <c r="A1509" s="2">
        <v>1506</v>
      </c>
      <c r="B1509" s="2" t="str">
        <f>"קרטון גלי50*70 מעורב צבעים (10 יח')"</f>
        <v>קרטון גלי50*70 מעורב צבעים (10 יח')</v>
      </c>
      <c r="C1509" s="7">
        <v>18.579650000000001</v>
      </c>
      <c r="D1509" s="2"/>
    </row>
    <row r="1510" spans="1:4" x14ac:dyDescent="0.2">
      <c r="A1510" s="2">
        <v>1507</v>
      </c>
      <c r="B1510" s="2" t="str">
        <f>"קרטון דופלקס צבעוני  ורוד"</f>
        <v>קרטון דופלקס צבעוני  ורוד</v>
      </c>
      <c r="C1510" s="7">
        <v>1.1312500000000001</v>
      </c>
      <c r="D1510" s="2"/>
    </row>
    <row r="1511" spans="1:4" x14ac:dyDescent="0.2">
      <c r="A1511" s="2">
        <v>1508</v>
      </c>
      <c r="B1511" s="2" t="str">
        <f>"מכחול עגול מס' 24"</f>
        <v>מכחול עגול מס' 24</v>
      </c>
      <c r="C1511" s="7">
        <v>1.6742500000000002</v>
      </c>
      <c r="D1511" s="2"/>
    </row>
    <row r="1512" spans="1:4" x14ac:dyDescent="0.2">
      <c r="A1512" s="2">
        <v>1509</v>
      </c>
      <c r="B1512" s="2" t="str">
        <f>"גליל אל-בד25 מטר ורוד כהה(פוקסיה))  מס(' 64"</f>
        <v>גליל אל-בד25 מטר ורוד כהה(פוקסיה))  מס(' 64</v>
      </c>
      <c r="C1512" s="7">
        <v>17.738000000000003</v>
      </c>
      <c r="D1512" s="2"/>
    </row>
    <row r="1513" spans="1:4" x14ac:dyDescent="0.2">
      <c r="A1513" s="2">
        <v>1510</v>
      </c>
      <c r="B1513" s="2" t="str">
        <f>"גליל אל-בד 25 מטר כחול כהה (מס'( 41"</f>
        <v>גליל אל-בד 25 מטר כחול כהה (מס'( 41</v>
      </c>
      <c r="C1513" s="7">
        <v>17.738000000000003</v>
      </c>
      <c r="D1513" s="2"/>
    </row>
    <row r="1514" spans="1:4" x14ac:dyDescent="0.2">
      <c r="A1514" s="2">
        <v>1511</v>
      </c>
      <c r="B1514" s="2" t="str">
        <f>"גליל אל-בד25 מטר סגול בהיר (מס(' 44"</f>
        <v>גליל אל-בד25 מטר סגול בהיר (מס(' 44</v>
      </c>
      <c r="C1514" s="7">
        <v>17.738000000000003</v>
      </c>
      <c r="D1514" s="2"/>
    </row>
    <row r="1515" spans="1:4" x14ac:dyDescent="0.2">
      <c r="A1515" s="2">
        <v>1512</v>
      </c>
      <c r="B1515" s="2" t="str">
        <f>"גליל אל-בד25 מטר ירוק תפוח (מס(' 56"</f>
        <v>גליל אל-בד25 מטר ירוק תפוח (מס(' 56</v>
      </c>
      <c r="C1515" s="7">
        <v>17.738000000000003</v>
      </c>
      <c r="D1515" s="2"/>
    </row>
    <row r="1516" spans="1:4" x14ac:dyDescent="0.2">
      <c r="A1516" s="2">
        <v>1513</v>
      </c>
      <c r="B1516" s="2" t="str">
        <f>"ספוג הפלא"</f>
        <v>ספוג הפלא</v>
      </c>
      <c r="C1516" s="7">
        <v>2.2625000000000002</v>
      </c>
      <c r="D1516" s="2"/>
    </row>
    <row r="1517" spans="1:4" x14ac:dyDescent="0.2">
      <c r="A1517" s="2">
        <v>1514</v>
      </c>
      <c r="B1517" s="2" t="str">
        <f>"סט עפרון רשום וגרפיקה 464 11"</f>
        <v>סט עפרון רשום וגרפיקה 464 11</v>
      </c>
      <c r="C1517" s="7">
        <v>18.009499999999999</v>
      </c>
      <c r="D1517" s="2"/>
    </row>
    <row r="1518" spans="1:4" x14ac:dyDescent="0.2">
      <c r="A1518" s="2">
        <v>1515</v>
      </c>
      <c r="B1518" s="2" t="str">
        <f>"בד מתוח על מסגרת15X15"</f>
        <v>בד מתוח על מסגרת15X15</v>
      </c>
      <c r="C1518" s="7">
        <v>3.9820000000000007</v>
      </c>
      <c r="D1518" s="2"/>
    </row>
    <row r="1519" spans="1:4" x14ac:dyDescent="0.2">
      <c r="A1519" s="2">
        <v>1516</v>
      </c>
      <c r="B1519" s="2" t="str">
        <f>"בד מתוח על מסגרת 20X20"</f>
        <v>בד מתוח על מסגרת 20X20</v>
      </c>
      <c r="C1519" s="7">
        <v>3.88245</v>
      </c>
      <c r="D1519" s="2"/>
    </row>
    <row r="1520" spans="1:4" x14ac:dyDescent="0.2">
      <c r="A1520" s="2">
        <v>1517</v>
      </c>
      <c r="B1520" s="2" t="str">
        <f>"בד מתוח על מסגרת30X30"</f>
        <v>בד מתוח על מסגרת30X30</v>
      </c>
      <c r="C1520" s="7">
        <v>6.7875000000000005</v>
      </c>
      <c r="D1520" s="2"/>
    </row>
    <row r="1521" spans="1:4" x14ac:dyDescent="0.2">
      <c r="A1521" s="2">
        <v>1518</v>
      </c>
      <c r="B1521" s="2" t="str">
        <f>"בד מתוח על מסגרת40X40"</f>
        <v>בד מתוח על מסגרת40X40</v>
      </c>
      <c r="C1521" s="7">
        <v>8.9595000000000002</v>
      </c>
      <c r="D1521" s="2"/>
    </row>
    <row r="1522" spans="1:4" x14ac:dyDescent="0.2">
      <c r="A1522" s="2">
        <v>1519</v>
      </c>
      <c r="B1522" s="2" t="str">
        <f>"בד מתוח על מסגרת עץ50*60"</f>
        <v>בד מתוח על מסגרת עץ50*60</v>
      </c>
      <c r="C1522" s="7">
        <v>16.7425</v>
      </c>
      <c r="D1522" s="2"/>
    </row>
    <row r="1523" spans="1:4" x14ac:dyDescent="0.2">
      <c r="A1523" s="2">
        <v>1520</v>
      </c>
      <c r="B1523" s="2" t="str">
        <f>"בריסטול לבן חצי פוליו 16.5*21  חב"</f>
        <v>בריסטול לבן חצי פוליו 16.5*21  חב</v>
      </c>
      <c r="C1523" s="7">
        <v>4.4345000000000008</v>
      </c>
      <c r="D1523" s="2"/>
    </row>
    <row r="1524" spans="1:4" x14ac:dyDescent="0.2">
      <c r="A1524" s="2">
        <v>1521</v>
      </c>
      <c r="B1524" s="2" t="str">
        <f>"מדבקה גו'ניור קוטר 25מעורב צבעים חב' ( 24מדב בדף"</f>
        <v>מדבקה גו'ניור קוטר 25מעורב צבעים חב' ( 24מדב בדף</v>
      </c>
      <c r="C1524" s="7">
        <v>3.5295000000000001</v>
      </c>
      <c r="D1524" s="2"/>
    </row>
    <row r="1525" spans="1:4" x14ac:dyDescent="0.2">
      <c r="A1525" s="2">
        <v>1522</v>
      </c>
      <c r="B1525" s="2" t="str">
        <f>"סט מכחולים ארט קריאשן בריסטל (5 יח'M 6.10X2.14X2"</f>
        <v>סט מכחולים ארט קריאשן בריסטל (5 יח'M 6.10X2.14X2</v>
      </c>
      <c r="C1525" s="7">
        <v>16.1995</v>
      </c>
      <c r="D1525" s="2"/>
    </row>
    <row r="1526" spans="1:4" x14ac:dyDescent="0.2">
      <c r="A1526" s="2">
        <v>1523</v>
      </c>
      <c r="B1526" s="2" t="str">
        <f>"סט מכחולים ארט קריאשן 9099225M 6.10X2.14X2"</f>
        <v>סט מכחולים ארט קריאשן 9099225M 6.10X2.14X2</v>
      </c>
      <c r="C1526" s="7">
        <v>16.1995</v>
      </c>
      <c r="D1526" s="2"/>
    </row>
    <row r="1527" spans="1:4" x14ac:dyDescent="0.2">
      <c r="A1527" s="2">
        <v>1524</v>
      </c>
      <c r="B1527" s="2" t="str">
        <f>"סט 5 מכחולי ארט קריאשן סינטטי 99235M 6.10X2.14X2"</f>
        <v>סט 5 מכחולי ארט קריאשן סינטטי 99235M 6.10X2.14X2</v>
      </c>
      <c r="C1527" s="7">
        <v>16.1995</v>
      </c>
      <c r="D1527" s="2"/>
    </row>
    <row r="1528" spans="1:4" x14ac:dyDescent="0.2">
      <c r="A1528" s="2">
        <v>1525</v>
      </c>
      <c r="B1528" s="2" t="str">
        <f>"בריסטולים מעורב צבעים בהירים170 גר '(25 יח')"</f>
        <v>בריסטולים מעורב צבעים בהירים170 גר '(25 יח')</v>
      </c>
      <c r="C1528" s="7">
        <v>31.675000000000001</v>
      </c>
      <c r="D1528" s="2"/>
    </row>
    <row r="1529" spans="1:4" x14ac:dyDescent="0.2">
      <c r="A1529" s="2">
        <v>1526</v>
      </c>
      <c r="B1529" s="2" t="str">
        <f>"סיכות נעיצה פלסטיק לקלקר50 גר 'מעורב צבעים 10  י"</f>
        <v>סיכות נעיצה פלסטיק לקלקר50 גר 'מעורב צבעים 10  י</v>
      </c>
      <c r="C1529" s="7">
        <v>8.5070000000000014</v>
      </c>
      <c r="D1529" s="2"/>
    </row>
    <row r="1530" spans="1:4" x14ac:dyDescent="0.2">
      <c r="A1530" s="2">
        <v>1527</v>
      </c>
      <c r="B1530" s="2" t="str">
        <f>"חוט רקמה מעורב צבעים"</f>
        <v>חוט רקמה מעורב צבעים</v>
      </c>
      <c r="C1530" s="7">
        <v>20.724499999999999</v>
      </c>
      <c r="D1530" s="2"/>
    </row>
    <row r="1531" spans="1:4" x14ac:dyDescent="0.2">
      <c r="A1531" s="2">
        <v>1528</v>
      </c>
      <c r="B1531" s="2" t="str">
        <f>"חימר לבן בקרטון10 ק''ג"</f>
        <v>חימר לבן בקרטון10 ק''ג</v>
      </c>
      <c r="C1531" s="7">
        <v>42.987500000000004</v>
      </c>
      <c r="D1531" s="2"/>
    </row>
    <row r="1532" spans="1:4" x14ac:dyDescent="0.2">
      <c r="A1532" s="2">
        <v>1529</v>
      </c>
      <c r="B1532" s="2" t="str">
        <f>"סרט אריזה למתנות צר 5 ממ ירוק Y 500"</f>
        <v>סרט אריזה למתנות צר 5 ממ ירוק Y 500</v>
      </c>
      <c r="C1532" s="7">
        <v>5.7015000000000002</v>
      </c>
      <c r="D1532" s="2"/>
    </row>
    <row r="1533" spans="1:4" x14ac:dyDescent="0.2">
      <c r="A1533" s="2">
        <v>1530</v>
      </c>
      <c r="B1533" s="2" t="str">
        <f>"צבע טוליפ118 מ''ל כסף"</f>
        <v>צבע טוליפ118 מ''ל כסף</v>
      </c>
      <c r="C1533" s="7">
        <v>8.8690000000000015</v>
      </c>
      <c r="D1533" s="2"/>
    </row>
    <row r="1534" spans="1:4" x14ac:dyDescent="0.2">
      <c r="A1534" s="2">
        <v>1531</v>
      </c>
      <c r="B1534" s="2" t="str">
        <f>"צבעי טוליפ118 מ''ל צבע צהוב"</f>
        <v>צבעי טוליפ118 מ''ל צבע צהוב</v>
      </c>
      <c r="C1534" s="7">
        <v>8.8690000000000015</v>
      </c>
      <c r="D1534" s="2"/>
    </row>
    <row r="1535" spans="1:4" x14ac:dyDescent="0.2">
      <c r="A1535" s="2">
        <v>1532</v>
      </c>
      <c r="B1535" s="2" t="str">
        <f>"צבע טוליפ118 מ''ל לבן"</f>
        <v>צבע טוליפ118 מ''ל לבן</v>
      </c>
      <c r="C1535" s="7">
        <v>8.8690000000000015</v>
      </c>
      <c r="D1535" s="2"/>
    </row>
    <row r="1536" spans="1:4" x14ac:dyDescent="0.2">
      <c r="A1536" s="2">
        <v>1533</v>
      </c>
      <c r="B1536" s="2" t="str">
        <f>"צבעי טוליפ118 מ''ל צבע כתום"</f>
        <v>צבעי טוליפ118 מ''ל צבע כתום</v>
      </c>
      <c r="C1536" s="7">
        <v>8.8690000000000015</v>
      </c>
      <c r="D1536" s="2"/>
    </row>
    <row r="1537" spans="1:4" x14ac:dyDescent="0.2">
      <c r="A1537" s="2">
        <v>1534</v>
      </c>
      <c r="B1537" s="2" t="str">
        <f>"פלסטלינה גיאוטו 12 גוונים (250 גרם)"</f>
        <v>פלסטלינה גיאוטו 12 גוונים (250 גרם)</v>
      </c>
      <c r="C1537" s="7">
        <v>40.543999999999997</v>
      </c>
      <c r="D1537" s="2"/>
    </row>
    <row r="1538" spans="1:4" x14ac:dyDescent="0.2">
      <c r="A1538" s="2">
        <v>1535</v>
      </c>
      <c r="B1538" s="2" t="str">
        <f>"צבע טוליפ118 מ''ל זהב נוצץ"</f>
        <v>צבע טוליפ118 מ''ל זהב נוצץ</v>
      </c>
      <c r="C1538" s="7">
        <v>8.8690000000000015</v>
      </c>
      <c r="D1538" s="2"/>
    </row>
    <row r="1539" spans="1:4" x14ac:dyDescent="0.2">
      <c r="A1539" s="2">
        <v>1536</v>
      </c>
      <c r="B1539" s="2" t="str">
        <f>"צבע טוליפ 118 מל ירוק נצנצים"</f>
        <v>צבע טוליפ 118 מל ירוק נצנצים</v>
      </c>
      <c r="C1539" s="7">
        <v>8.8690000000000015</v>
      </c>
      <c r="D1539" s="2"/>
    </row>
    <row r="1540" spans="1:4" x14ac:dyDescent="0.2">
      <c r="A1540" s="2">
        <v>1537</v>
      </c>
      <c r="B1540" s="2" t="str">
        <f>"צבעי טוליפ118 מ''ל צבע כחול נצנצים"</f>
        <v>צבעי טוליפ118 מ''ל צבע כחול נצנצים</v>
      </c>
      <c r="C1540" s="7">
        <v>8.8690000000000015</v>
      </c>
      <c r="D1540" s="2"/>
    </row>
    <row r="1541" spans="1:4" x14ac:dyDescent="0.2">
      <c r="A1541" s="2">
        <v>1538</v>
      </c>
      <c r="B1541" s="2" t="str">
        <f>"צבעי טוליפ118 מ''ל צבע סגול"</f>
        <v>צבעי טוליפ118 מ''ל צבע סגול</v>
      </c>
      <c r="C1541" s="7">
        <v>8.8690000000000015</v>
      </c>
      <c r="D1541" s="2"/>
    </row>
    <row r="1542" spans="1:4" x14ac:dyDescent="0.2">
      <c r="A1542" s="2">
        <v>1539</v>
      </c>
      <c r="B1542" s="2" t="str">
        <f>"צבעי טוליפ118 מ''ל צבע שחור*"</f>
        <v>צבעי טוליפ118 מ''ל צבע שחור*</v>
      </c>
      <c r="C1542" s="7">
        <v>8.8690000000000015</v>
      </c>
      <c r="D1542" s="2"/>
    </row>
    <row r="1543" spans="1:4" x14ac:dyDescent="0.2">
      <c r="A1543" s="2">
        <v>1540</v>
      </c>
      <c r="B1543" s="2" t="str">
        <f>"צבעי טוליפ118 מ''ל צבע כסף נצנצים"</f>
        <v>צבעי טוליפ118 מ''ל צבע כסף נצנצים</v>
      </c>
      <c r="C1543" s="7">
        <v>8.8690000000000015</v>
      </c>
      <c r="D1543" s="2"/>
    </row>
    <row r="1544" spans="1:4" x14ac:dyDescent="0.2">
      <c r="A1544" s="2">
        <v>1541</v>
      </c>
      <c r="B1544" s="2" t="str">
        <f>"צבעי טוליפ 118 מל צבע כתום נצנצים"</f>
        <v>צבעי טוליפ 118 מל צבע כתום נצנצים</v>
      </c>
      <c r="C1544" s="7">
        <v>8.8690000000000015</v>
      </c>
      <c r="D1544" s="2"/>
    </row>
    <row r="1545" spans="1:4" x14ac:dyDescent="0.2">
      <c r="A1545" s="2">
        <v>1542</v>
      </c>
      <c r="B1545" s="2" t="str">
        <f>"צבעי טוליפ 811 מל צבע אדום נצנצים"</f>
        <v>צבעי טוליפ 811 מל צבע אדום נצנצים</v>
      </c>
      <c r="C1545" s="7">
        <v>8.8690000000000015</v>
      </c>
      <c r="D1545" s="2"/>
    </row>
    <row r="1546" spans="1:4" x14ac:dyDescent="0.2">
      <c r="A1546" s="2">
        <v>1543</v>
      </c>
      <c r="B1546" s="2" t="str">
        <f>"צבעי טוליפ118 מ''ל צבע אדום"</f>
        <v>צבעי טוליפ118 מ''ל צבע אדום</v>
      </c>
      <c r="C1546" s="7">
        <v>8.8690000000000015</v>
      </c>
      <c r="D1546" s="2"/>
    </row>
    <row r="1547" spans="1:4" x14ac:dyDescent="0.2">
      <c r="A1547" s="2">
        <v>1544</v>
      </c>
      <c r="B1547" s="2" t="str">
        <f>"צבעי טוליפ 118 מל צבע ברונזה"</f>
        <v>צבעי טוליפ 118 מל צבע ברונזה</v>
      </c>
      <c r="C1547" s="7">
        <v>8.8690000000000015</v>
      </c>
      <c r="D1547" s="2"/>
    </row>
    <row r="1548" spans="1:4" x14ac:dyDescent="0.2">
      <c r="A1548" s="2">
        <v>1545</v>
      </c>
      <c r="B1548" s="2" t="str">
        <f>"צבעי טוליפ118 מ''ל צבע ורוד"</f>
        <v>צבעי טוליפ118 מ''ל צבע ורוד</v>
      </c>
      <c r="C1548" s="7">
        <v>8.8690000000000015</v>
      </c>
      <c r="D1548" s="2"/>
    </row>
    <row r="1549" spans="1:4" x14ac:dyDescent="0.2">
      <c r="A1549" s="2">
        <v>1546</v>
      </c>
      <c r="B1549" s="2" t="str">
        <f>"צבעי טוליפ118 מ''ל צבע זהב"</f>
        <v>צבעי טוליפ118 מ''ל צבע זהב</v>
      </c>
      <c r="C1549" s="7">
        <v>8.8690000000000015</v>
      </c>
      <c r="D1549" s="2"/>
    </row>
    <row r="1550" spans="1:4" x14ac:dyDescent="0.2">
      <c r="A1550" s="2">
        <v>1547</v>
      </c>
      <c r="B1550" s="2" t="str">
        <f>"צבעי טוליפ 118 מל צבע חום"</f>
        <v>צבעי טוליפ 118 מל צבע חום</v>
      </c>
      <c r="C1550" s="7">
        <v>8.8690000000000015</v>
      </c>
      <c r="D1550" s="2"/>
    </row>
    <row r="1551" spans="1:4" x14ac:dyDescent="0.2">
      <c r="A1551" s="2">
        <v>1548</v>
      </c>
      <c r="B1551" s="2" t="str">
        <f>"צבעי טוליפ118 מ''ל צבע ירוק"</f>
        <v>צבעי טוליפ118 מ''ל צבע ירוק</v>
      </c>
      <c r="C1551" s="7">
        <v>8.8690000000000015</v>
      </c>
      <c r="D1551" s="2"/>
    </row>
    <row r="1552" spans="1:4" x14ac:dyDescent="0.2">
      <c r="A1552" s="2">
        <v>1549</v>
      </c>
      <c r="B1552" s="2" t="str">
        <f>"צבעי טוליפ118 מ''ל צבע כחול"</f>
        <v>צבעי טוליפ118 מ''ל צבע כחול</v>
      </c>
      <c r="C1552" s="7">
        <v>8.8690000000000015</v>
      </c>
      <c r="D1552" s="2"/>
    </row>
    <row r="1553" spans="1:4" x14ac:dyDescent="0.2">
      <c r="A1553" s="2">
        <v>1550</v>
      </c>
      <c r="B1553" s="2" t="str">
        <f>"צבעי טוליפ 118 מ""ל צבע נחושת"</f>
        <v>צבעי טוליפ 118 מ"ל צבע נחושת</v>
      </c>
      <c r="C1553" s="7">
        <v>8.8690000000000015</v>
      </c>
      <c r="D1553" s="2"/>
    </row>
    <row r="1554" spans="1:4" x14ac:dyDescent="0.2">
      <c r="A1554" s="2">
        <v>1551</v>
      </c>
      <c r="B1554" s="2" t="str">
        <f>"בריסטול A4 מנילה צבעוני ( צבעים כהים)"</f>
        <v>בריסטול A4 מנילה צבעוני ( צבעים כהים)</v>
      </c>
      <c r="C1554" s="7">
        <v>10.407500000000001</v>
      </c>
      <c r="D1554" s="2"/>
    </row>
    <row r="1555" spans="1:4" x14ac:dyDescent="0.2">
      <c r="A1555" s="2">
        <v>1552</v>
      </c>
      <c r="B1555" s="2" t="str">
        <f>"מילוי למתקן ריח לשירותים -אקזוטי"</f>
        <v>מילוי למתקן ריח לשירותים -אקזוטי</v>
      </c>
      <c r="C1555" s="7">
        <v>7.1495000000000006</v>
      </c>
      <c r="D1555" s="2"/>
    </row>
    <row r="1556" spans="1:4" x14ac:dyDescent="0.2">
      <c r="A1556" s="2">
        <v>1553</v>
      </c>
      <c r="B1556" s="2" t="str">
        <f>"מילוי למתקן ריח לשירותים – ונילה"</f>
        <v>מילוי למתקן ריח לשירותים – ונילה</v>
      </c>
      <c r="C1556" s="7">
        <v>5.2489999999999997</v>
      </c>
      <c r="D1556" s="2"/>
    </row>
    <row r="1557" spans="1:4" x14ac:dyDescent="0.2">
      <c r="A1557" s="2">
        <v>1554</v>
      </c>
      <c r="B1557" s="2" t="str">
        <f>"מילוי למתקן ריח לשירותים – אמברקומבי"</f>
        <v>מילוי למתקן ריח לשירותים – אמברקומבי</v>
      </c>
      <c r="C1557" s="7">
        <v>6.0635000000000003</v>
      </c>
      <c r="D1557" s="2"/>
    </row>
    <row r="1558" spans="1:4" x14ac:dyDescent="0.2">
      <c r="A1558" s="2">
        <v>1555</v>
      </c>
      <c r="B1558" s="2" t="str">
        <f>"תה תפוח וקינמון סיידר"</f>
        <v>תה תפוח וקינמון סיידר</v>
      </c>
      <c r="C1558" s="7">
        <v>13.1225</v>
      </c>
      <c r="D1558" s="2"/>
    </row>
    <row r="1559" spans="1:4" x14ac:dyDescent="0.2">
      <c r="A1559" s="2">
        <v>1556</v>
      </c>
      <c r="B1559" s="2" t="str">
        <f>"סבון כלים1 ליטר- MSDS"</f>
        <v>סבון כלים1 ליטר- MSDS</v>
      </c>
      <c r="C1559" s="7">
        <v>3.5747500000000003</v>
      </c>
      <c r="D1559" s="2"/>
    </row>
    <row r="1560" spans="1:4" x14ac:dyDescent="0.2">
      <c r="A1560" s="2">
        <v>1557</v>
      </c>
      <c r="B1560" s="2" t="str">
        <f>"נוזל רצפות2 ליטר- סלקט"</f>
        <v>נוזל רצפות2 ליטר- סלקט</v>
      </c>
      <c r="C1560" s="7">
        <v>11.041</v>
      </c>
      <c r="D1560" s="2"/>
    </row>
    <row r="1561" spans="1:4" x14ac:dyDescent="0.2">
      <c r="A1561" s="2">
        <v>1558</v>
      </c>
      <c r="B1561" s="2" t="str">
        <f>"אקונומיקה 4 ליטר סנו זאוול"</f>
        <v>אקונומיקה 4 ליטר סנו זאוול</v>
      </c>
      <c r="C1561" s="7">
        <v>15.204000000000001</v>
      </c>
      <c r="D1561" s="2"/>
    </row>
    <row r="1562" spans="1:4" x14ac:dyDescent="0.2">
      <c r="A1562" s="2">
        <v>1559</v>
      </c>
      <c r="B1562" s="2" t="str">
        <f>"נוזל אסלות ג'ל"</f>
        <v>נוזל אסלות ג'ל</v>
      </c>
      <c r="C1562" s="7">
        <v>7.4209999999999994</v>
      </c>
      <c r="D1562" s="2"/>
    </row>
    <row r="1563" spans="1:4" x14ac:dyDescent="0.2">
      <c r="A1563" s="2">
        <v>1560</v>
      </c>
      <c r="B1563" s="2" t="str">
        <f>"נייר ניגוב ידיים 1/6-1183"</f>
        <v>נייר ניגוב ידיים 1/6-1183</v>
      </c>
      <c r="C1563" s="7">
        <v>23.077500000000001</v>
      </c>
      <c r="D1563" s="2"/>
    </row>
    <row r="1564" spans="1:4" x14ac:dyDescent="0.2">
      <c r="A1564" s="2">
        <v>1561</v>
      </c>
      <c r="B1564" s="2" t="str">
        <f>"נייר ניגוב ידיים דו שכבתי מולבן א-85 ר-19.3(6יח)"</f>
        <v>נייר ניגוב ידיים דו שכבתי מולבן א-85 ר-19.3(6יח)</v>
      </c>
      <c r="C1564" s="7">
        <v>40.725000000000001</v>
      </c>
      <c r="D1564" s="2"/>
    </row>
    <row r="1565" spans="1:4" x14ac:dyDescent="0.2">
      <c r="A1565" s="2">
        <v>1562</v>
      </c>
      <c r="B1565" s="2" t="str">
        <f>"נייר תעשייתי דו שכבתי1174 חוגלה"</f>
        <v>נייר תעשייתי דו שכבתי1174 חוגלה</v>
      </c>
      <c r="C1565" s="7">
        <v>45.159500000000001</v>
      </c>
      <c r="D1565" s="2"/>
    </row>
    <row r="1566" spans="1:4" x14ac:dyDescent="0.2">
      <c r="A1566" s="2">
        <v>1563</v>
      </c>
      <c r="B1566" s="2" t="str">
        <f>"ממחטות אף קלינקס זוגות - חוגלה1747"</f>
        <v>ממחטות אף קלינקס זוגות - חוגלה1747</v>
      </c>
      <c r="C1566" s="7">
        <v>16.896350000000002</v>
      </c>
      <c r="D1566" s="2"/>
    </row>
    <row r="1567" spans="1:4" x14ac:dyDescent="0.2">
      <c r="A1567" s="2">
        <v>1564</v>
      </c>
      <c r="B1567" s="2" t="str">
        <f>"מרסס 1 ליטר לניקוי כללי פלוס אקונומיקה"</f>
        <v>מרסס 1 ליטר לניקוי כללי פלוס אקונומיקה</v>
      </c>
      <c r="C1567" s="7">
        <v>14.0275</v>
      </c>
      <c r="D1567" s="2"/>
    </row>
    <row r="1568" spans="1:4" x14ac:dyDescent="0.2">
      <c r="A1568" s="2">
        <v>1565</v>
      </c>
      <c r="B1568" s="2" t="str">
        <f>"מטלית אבק מיקרופייבר (רביעייה)"</f>
        <v>מטלית אבק מיקרופייבר (רביעייה)</v>
      </c>
      <c r="C1568" s="7">
        <v>3.8010000000000002</v>
      </c>
      <c r="D1568" s="2"/>
    </row>
    <row r="1569" spans="1:4" x14ac:dyDescent="0.2">
      <c r="A1569" s="2">
        <v>1566</v>
      </c>
      <c r="B1569" s="2" t="str">
        <f>"בריסטול A4 קרם (70 יח במארז)"</f>
        <v>בריסטול A4 קרם (70 יח במארז)</v>
      </c>
      <c r="C1569" s="7">
        <v>8.0545000000000009</v>
      </c>
      <c r="D1569" s="2"/>
    </row>
    <row r="1570" spans="1:4" x14ac:dyDescent="0.2">
      <c r="A1570" s="2">
        <v>1567</v>
      </c>
      <c r="B1570" s="2" t="str">
        <f>"חימר בקרטון מתאים לשריפה20 ק''ג"</f>
        <v>חימר בקרטון מתאים לשריפה20 ק''ג</v>
      </c>
      <c r="C1570" s="7">
        <v>53.213999999999999</v>
      </c>
      <c r="D1570" s="2"/>
    </row>
    <row r="1571" spans="1:4" x14ac:dyDescent="0.2">
      <c r="A1571" s="2">
        <v>1568</v>
      </c>
      <c r="B1571" s="2" t="str">
        <f>"אקדח דבק חם מקצועי 80W זיקו"</f>
        <v>אקדח דבק חם מקצועי 80W זיקו</v>
      </c>
      <c r="C1571" s="7">
        <v>88.69</v>
      </c>
      <c r="D1571" s="2"/>
    </row>
    <row r="1572" spans="1:4" x14ac:dyDescent="0.2">
      <c r="A1572" s="2">
        <v>1569</v>
      </c>
      <c r="B1572" s="2" t="str">
        <f>"מדבקות סמיילי זוהר גדול מעורב"</f>
        <v>מדבקות סמיילי זוהר גדול מעורב</v>
      </c>
      <c r="C1572" s="7">
        <v>5.8825000000000003</v>
      </c>
      <c r="D1572" s="2"/>
    </row>
    <row r="1573" spans="1:4" x14ac:dyDescent="0.2">
      <c r="A1573" s="2">
        <v>1570</v>
      </c>
      <c r="B1573" s="2" t="str">
        <f>"מדבקה כוכב מעורב ( מארז10 דף)"</f>
        <v>מדבקה כוכב מעורב ( מארז10 דף)</v>
      </c>
      <c r="C1573" s="7">
        <v>5.8825000000000003</v>
      </c>
      <c r="D1573" s="2"/>
    </row>
    <row r="1574" spans="1:4" x14ac:dyDescent="0.2">
      <c r="A1574" s="2">
        <v>1571</v>
      </c>
      <c r="B1574" s="2" t="str">
        <f>"משטח סול מארזA4 מעורב צבעים"</f>
        <v>משטח סול מארזA4 מעורב צבעים</v>
      </c>
      <c r="C1574" s="7">
        <v>5.3847500000000004</v>
      </c>
      <c r="D1574" s="2"/>
    </row>
    <row r="1575" spans="1:4" x14ac:dyDescent="0.2">
      <c r="A1575" s="2">
        <v>1572</v>
      </c>
      <c r="B1575" s="2" t="str">
        <f>"פתיליות לאקדח דבק חם זיקו 40 יח"</f>
        <v>פתיליות לאקדח דבק חם זיקו 40 יח</v>
      </c>
      <c r="C1575" s="7">
        <v>47.965000000000003</v>
      </c>
      <c r="D1575" s="2"/>
    </row>
    <row r="1576" spans="1:4" x14ac:dyDescent="0.2">
      <c r="A1576" s="2">
        <v>1573</v>
      </c>
      <c r="B1576" s="2" t="str">
        <f>"שקיות צלופן 100 יח' במארז גודל A4"</f>
        <v>שקיות צלופן 100 יח' במארז גודל A4</v>
      </c>
      <c r="C1576" s="7">
        <v>24.3445</v>
      </c>
      <c r="D1576" s="2"/>
    </row>
    <row r="1577" spans="1:4" x14ac:dyDescent="0.2">
      <c r="A1577" s="2">
        <v>1574</v>
      </c>
      <c r="B1577" s="2" t="str">
        <f>"דגל  ישראל  לרכב"</f>
        <v>דגל  ישראל  לרכב</v>
      </c>
      <c r="C1577" s="7">
        <v>2.9864999999999999</v>
      </c>
      <c r="D1577" s="2"/>
    </row>
    <row r="1578" spans="1:4" x14ac:dyDescent="0.2">
      <c r="A1578" s="2">
        <v>1575</v>
      </c>
      <c r="B1578" s="2" t="str">
        <f>"חול צבעוני 1 קילו אדום"</f>
        <v>חול צבעוני 1 קילו אדום</v>
      </c>
      <c r="C1578" s="7">
        <v>15.204000000000001</v>
      </c>
      <c r="D1578" s="2"/>
    </row>
    <row r="1579" spans="1:4" x14ac:dyDescent="0.2">
      <c r="A1579" s="2">
        <v>1576</v>
      </c>
      <c r="B1579" s="2" t="str">
        <f>"דבק בד גוטרמן"</f>
        <v>דבק בד גוטרמן</v>
      </c>
      <c r="C1579" s="7">
        <v>12.489000000000001</v>
      </c>
      <c r="D1579" s="2"/>
    </row>
    <row r="1580" spans="1:4" x14ac:dyDescent="0.2">
      <c r="A1580" s="2">
        <v>1577</v>
      </c>
      <c r="B1580" s="2" t="str">
        <f>"סט מכ' א. קרי' 10  גדלים סינטטי לשמן אקר' גואש-M"</f>
        <v>סט מכ' א. קרי' 10  גדלים סינטטי לשמן אקר' גואש-M</v>
      </c>
      <c r="C1580" s="7">
        <v>56.924500000000002</v>
      </c>
      <c r="D1580" s="2"/>
    </row>
    <row r="1581" spans="1:4" x14ac:dyDescent="0.2">
      <c r="A1581" s="2">
        <v>1578</v>
      </c>
      <c r="B1581" s="2" t="str">
        <f>"סט מכח' א. קרי'10  גדלים בריסטל לשמן אקר' גואש-M"</f>
        <v>סט מכח' א. קרי'10  גדלים בריסטל לשמן אקר' גואש-M</v>
      </c>
      <c r="C1581" s="7">
        <v>50.589500000000001</v>
      </c>
      <c r="D1581" s="2"/>
    </row>
    <row r="1582" spans="1:4" x14ac:dyDescent="0.2">
      <c r="A1582" s="2">
        <v>1579</v>
      </c>
      <c r="B1582" s="2" t="str">
        <f>"סט צבעי גואש אומגה נצנצים7*20"</f>
        <v>סט צבעי גואש אומגה נצנצים7*20</v>
      </c>
      <c r="C1582" s="7">
        <v>9.2943499999999997</v>
      </c>
      <c r="D1582" s="2"/>
    </row>
    <row r="1583" spans="1:4" x14ac:dyDescent="0.2">
      <c r="A1583" s="2">
        <v>1580</v>
      </c>
      <c r="B1583" s="2" t="str">
        <f>"אשפתון שחור בכרית  75*90 עובי 13 מיקרון -50  יח'"</f>
        <v>אשפתון שחור בכרית  75*90 עובי 13 מיקרון -50  יח'</v>
      </c>
      <c r="C1583" s="7">
        <v>7.6924999999999999</v>
      </c>
      <c r="D1583" s="2"/>
    </row>
    <row r="1584" spans="1:4" x14ac:dyDescent="0.2">
      <c r="A1584" s="2">
        <v>1581</v>
      </c>
      <c r="B1584" s="2" t="str">
        <f>"אשפתון לבן בכרית 13 50*50 מיקרון -100  יח'"</f>
        <v>אשפתון לבן בכרית 13 50*50 מיקרון -100  יח'</v>
      </c>
      <c r="C1584" s="7">
        <v>5.6110000000000007</v>
      </c>
      <c r="D1584" s="2"/>
    </row>
    <row r="1585" spans="1:4" x14ac:dyDescent="0.2">
      <c r="A1585" s="2">
        <v>1582</v>
      </c>
      <c r="B1585" s="2" t="str">
        <f>"מכסה לכוס קרטון 250 מ""ל ( 100 יח) -פייפר(903-60)"</f>
        <v>מכסה לכוס קרטון 250 מ"ל ( 100 יח) -פייפר(903-60)</v>
      </c>
      <c r="C1585" s="7">
        <v>11.3125</v>
      </c>
      <c r="D1585" s="2"/>
    </row>
    <row r="1586" spans="1:4" x14ac:dyDescent="0.2">
      <c r="A1586" s="2">
        <v>1583</v>
      </c>
      <c r="B1586" s="2" t="str">
        <f>"בלונים צבעוניים איכותיים 100יח' מעורב"</f>
        <v>בלונים צבעוניים איכותיים 100יח' מעורב</v>
      </c>
      <c r="C1586" s="7">
        <v>11.737850000000002</v>
      </c>
      <c r="D1586" s="2"/>
    </row>
    <row r="1587" spans="1:4" x14ac:dyDescent="0.2">
      <c r="A1587" s="2">
        <v>1584</v>
      </c>
      <c r="B1587" s="2" t="str">
        <f>"שדכן  איכותי 26\6"</f>
        <v>שדכן  איכותי 26\6</v>
      </c>
      <c r="C1587" s="7">
        <v>4.4345000000000008</v>
      </c>
      <c r="D1587" s="2"/>
    </row>
    <row r="1588" spans="1:4" x14ac:dyDescent="0.2">
      <c r="A1588" s="2">
        <v>1585</v>
      </c>
      <c r="B1588" s="2" t="str">
        <f>"מחזיק מפתחות תפזורת"</f>
        <v>מחזיק מפתחות תפזורת</v>
      </c>
      <c r="C1588" s="7">
        <v>0.49775000000000008</v>
      </c>
      <c r="D1588" s="2"/>
    </row>
    <row r="1589" spans="1:4" x14ac:dyDescent="0.2">
      <c r="A1589" s="2">
        <v>1586</v>
      </c>
      <c r="B1589" s="2" t="str">
        <f>"מעמד רשת מתכת ממו קוביה 310 כסוף"</f>
        <v>מעמד רשת מתכת ממו קוביה 310 כסוף</v>
      </c>
      <c r="C1589" s="7">
        <v>8.0545000000000009</v>
      </c>
      <c r="D1589" s="2"/>
    </row>
    <row r="1590" spans="1:4" x14ac:dyDescent="0.2">
      <c r="A1590" s="2">
        <v>1587</v>
      </c>
      <c r="B1590" s="2" t="str">
        <f>"נייר מבריק70/50 מעורב20 יח"</f>
        <v>נייר מבריק70/50 מעורב20 יח</v>
      </c>
      <c r="C1590" s="7">
        <v>13.1225</v>
      </c>
      <c r="D1590" s="2"/>
    </row>
    <row r="1591" spans="1:4" x14ac:dyDescent="0.2">
      <c r="A1591" s="2">
        <v>1588</v>
      </c>
      <c r="B1591" s="2" t="str">
        <f>"נוזל לניקוי חלונות ספריי בזוג 0.2% חומר פעיל +0%"</f>
        <v>נוזל לניקוי חלונות ספריי בזוג 0.2% חומר פעיל +0%</v>
      </c>
      <c r="C1591" s="7">
        <v>0</v>
      </c>
      <c r="D1591" s="2"/>
    </row>
    <row r="1592" spans="1:4" x14ac:dyDescent="0.2">
      <c r="A1592" s="2">
        <v>1589</v>
      </c>
      <c r="B1592" s="2" t="str">
        <f>"ה ומחטא אסלות ג'ל במארז צמד 750 סמ""ק - קלין/ס"</f>
        <v>ה ומחטא אסלות ג'ל במארז צמד 750 סמ"ק - קלין/ס</v>
      </c>
      <c r="C1592" s="7">
        <v>0</v>
      </c>
      <c r="D1592" s="2"/>
    </row>
    <row r="1593" spans="1:4" x14ac:dyDescent="0.2">
      <c r="A1593" s="2">
        <v>1590</v>
      </c>
      <c r="B1593" s="2" t="str">
        <f>"אקונומיקה ( תרסיס )750 -  סמ""ק"</f>
        <v>אקונומיקה ( תרסיס )750 -  סמ"ק</v>
      </c>
      <c r="C1593" s="7">
        <v>8.5975000000000001</v>
      </c>
      <c r="D1593" s="2"/>
    </row>
    <row r="1594" spans="1:4" x14ac:dyDescent="0.2">
      <c r="A1594" s="2">
        <v>1591</v>
      </c>
      <c r="B1594" s="2" t="str">
        <f>"משטחי סול 100*40 ס""מ - לבן"</f>
        <v>משטחי סול 100*40 ס"מ - לבן</v>
      </c>
      <c r="C1594" s="7">
        <v>3.1675</v>
      </c>
      <c r="D1594" s="2"/>
    </row>
    <row r="1595" spans="1:4" x14ac:dyDescent="0.2">
      <c r="A1595" s="2">
        <v>1592</v>
      </c>
      <c r="B1595" s="2" t="str">
        <f>"חוט קשירה ניילון"</f>
        <v>חוט קשירה ניילון</v>
      </c>
      <c r="C1595" s="7">
        <v>43.44</v>
      </c>
      <c r="D1595" s="2"/>
    </row>
    <row r="1596" spans="1:4" x14ac:dyDescent="0.2">
      <c r="A1596" s="2">
        <v>1593</v>
      </c>
      <c r="B1596" s="2" t="str">
        <f>"חוט שפגט 100 גר'"</f>
        <v>חוט שפגט 100 גר'</v>
      </c>
      <c r="C1596" s="7">
        <v>5.1585000000000001</v>
      </c>
      <c r="D1596" s="2"/>
    </row>
    <row r="1597" spans="1:4" x14ac:dyDescent="0.2">
      <c r="A1597" s="2">
        <v>1594</v>
      </c>
      <c r="B1597" s="2" t="str">
        <f>"בריסטולA3 מנילה לבן -)  חב'("</f>
        <v>בריסטולA3 מנילה לבן -)  חב'(</v>
      </c>
      <c r="C1597" s="7">
        <v>19.004999999999999</v>
      </c>
      <c r="D1597" s="2"/>
    </row>
    <row r="1598" spans="1:4" x14ac:dyDescent="0.2">
      <c r="A1598" s="2">
        <v>1595</v>
      </c>
      <c r="B1598" s="2" t="str">
        <f>"סולם אלומיניום 7 שלבים"</f>
        <v>סולם אלומיניום 7 שלבים</v>
      </c>
      <c r="C1598" s="7">
        <v>251.59</v>
      </c>
      <c r="D1598" s="2"/>
    </row>
    <row r="1599" spans="1:4" x14ac:dyDescent="0.2">
      <c r="A1599" s="2">
        <v>1596</v>
      </c>
      <c r="B1599" s="2" t="str">
        <f>"כבל מאריך 1 מטר רב שקע + 6 מפסק מואר"</f>
        <v>כבל מאריך 1 מטר רב שקע + 6 מפסק מואר</v>
      </c>
      <c r="C1599" s="7">
        <v>15.294499999999999</v>
      </c>
      <c r="D1599" s="2"/>
    </row>
    <row r="1600" spans="1:4" x14ac:dyDescent="0.2">
      <c r="A1600" s="2">
        <v>1597</v>
      </c>
      <c r="B1600" s="2" t="str">
        <f>"שרוך תליה לתג עם קליפס"</f>
        <v>שרוך תליה לתג עם קליפס</v>
      </c>
      <c r="C1600" s="7">
        <v>1.6742500000000002</v>
      </c>
      <c r="D1600" s="2"/>
    </row>
    <row r="1601" spans="1:4" x14ac:dyDescent="0.2">
      <c r="A1601" s="2">
        <v>1598</v>
      </c>
      <c r="B1601" s="2" t="str">
        <f>"דמי הובלה"</f>
        <v>דמי הובלה</v>
      </c>
      <c r="C1601" s="7">
        <v>0</v>
      </c>
      <c r="D1601" s="2"/>
    </row>
    <row r="1602" spans="1:4" x14ac:dyDescent="0.2">
      <c r="A1602" s="2">
        <v>1599</v>
      </c>
      <c r="B1602" s="2" t="str">
        <f>"מכונת קפה נספרסו דגם 456 פרו"</f>
        <v>מכונת קפה נספרסו דגם 456 פרו</v>
      </c>
      <c r="C1602" s="7">
        <v>1221.75</v>
      </c>
      <c r="D1602" s="2"/>
    </row>
    <row r="1603" spans="1:4" x14ac:dyDescent="0.2">
      <c r="A1603" s="2">
        <v>1600</v>
      </c>
      <c r="B1603" s="2" t="str">
        <f>"טונר מגנטי סמסונג SAMSUNG MLT-D205"</f>
        <v>טונר מגנטי סמסונג SAMSUNG MLT-D205</v>
      </c>
      <c r="C1603" s="7">
        <v>152.94499999999999</v>
      </c>
      <c r="D1603" s="2"/>
    </row>
    <row r="1604" spans="1:4" x14ac:dyDescent="0.2">
      <c r="A1604" s="2">
        <v>1601</v>
      </c>
      <c r="B1604" s="2" t="str">
        <f>"מברשת לספות ידית עץ קשה מצופה לכה/טבעי אורך גוף"</f>
        <v>מברשת לספות ידית עץ קשה מצופה לכה/טבעי אורך גוף</v>
      </c>
      <c r="C1604" s="7">
        <v>5.7920000000000007</v>
      </c>
      <c r="D1604" s="2"/>
    </row>
    <row r="1605" spans="1:4" x14ac:dyDescent="0.2">
      <c r="A1605" s="2">
        <v>1602</v>
      </c>
      <c r="B1605" s="2" t="str">
        <f>"מברשת לשולחן"</f>
        <v>מברשת לשולחן</v>
      </c>
      <c r="C1605" s="7">
        <v>6.2445000000000004</v>
      </c>
      <c r="D1605" s="2"/>
    </row>
    <row r="1606" spans="1:4" x14ac:dyDescent="0.2">
      <c r="A1606" s="2">
        <v>1603</v>
      </c>
      <c r="B1606" s="2" t="str">
        <f>"מגב עם תופסן לסחבה 40 ס""מ"</f>
        <v>מגב עם תופסן לסחבה 40 ס"מ</v>
      </c>
      <c r="C1606" s="7">
        <v>6.8780000000000001</v>
      </c>
      <c r="D1606" s="2"/>
    </row>
    <row r="1607" spans="1:4" x14ac:dyDescent="0.2">
      <c r="A1607" s="2">
        <v>1604</v>
      </c>
      <c r="B1607" s="2" t="str">
        <f>"מקל אלומיניום למטאטא כולל הברגה 1.2 מ'"</f>
        <v>מקל אלומיניום למטאטא כולל הברגה 1.2 מ'</v>
      </c>
      <c r="C1607" s="7">
        <v>1.58375</v>
      </c>
      <c r="D1607" s="2"/>
    </row>
    <row r="1608" spans="1:4" x14ac:dyDescent="0.2">
      <c r="A1608" s="2">
        <v>1605</v>
      </c>
      <c r="B1608" s="2" t="str">
        <f>"עגלת ניקיון דגם 2153"</f>
        <v>עגלת ניקיון דגם 2153</v>
      </c>
      <c r="C1608" s="7">
        <v>262.45</v>
      </c>
      <c r="D1608" s="2"/>
    </row>
    <row r="1609" spans="1:4" x14ac:dyDescent="0.2">
      <c r="A1609" s="2">
        <v>1606</v>
      </c>
      <c r="B1609" s="2" t="str">
        <f>"מעמד לבריסטולים 7 מדפים 80/110 מלמין 17 מ""מ צבע"</f>
        <v>מעמד לבריסטולים 7 מדפים 80/110 מלמין 17 מ"מ צבע</v>
      </c>
      <c r="C1609" s="7">
        <v>2172</v>
      </c>
      <c r="D1609" s="2"/>
    </row>
    <row r="1610" spans="1:4" x14ac:dyDescent="0.2">
      <c r="A1610" s="2">
        <v>1607</v>
      </c>
      <c r="B1610" s="2" t="str">
        <f>"תיק גומי קרטון 40 חוץ גב 12"</f>
        <v>תיק גומי קרטון 40 חוץ גב 12</v>
      </c>
      <c r="C1610" s="7">
        <v>12.67</v>
      </c>
      <c r="D1610" s="2"/>
    </row>
    <row r="1611" spans="1:4" x14ac:dyDescent="0.2">
      <c r="A1611" s="2">
        <v>1608</v>
      </c>
      <c r="B1611" s="2" t="str">
        <f>"תיק גומי 40 חוץ גב 20"</f>
        <v>תיק גומי 40 חוץ גב 20</v>
      </c>
      <c r="C1611" s="7">
        <v>17.195</v>
      </c>
      <c r="D1611" s="2"/>
    </row>
    <row r="1612" spans="1:4" x14ac:dyDescent="0.2">
      <c r="A1612" s="2">
        <v>1609</v>
      </c>
      <c r="B1612" s="2" t="str">
        <f>"מתקן לנייר ניגוב ידיים חשמלי ((29738"</f>
        <v>מתקן לנייר ניגוב ידיים חשמלי ((29738</v>
      </c>
      <c r="C1612" s="7">
        <v>262.45</v>
      </c>
      <c r="D1612" s="2"/>
    </row>
    <row r="1613" spans="1:4" x14ac:dyDescent="0.2">
      <c r="A1613" s="2">
        <v>1610</v>
      </c>
      <c r="B1613" s="2" t="str">
        <f>"פח אשפה 76 ליטר"</f>
        <v>פח אשפה 76 ליטר</v>
      </c>
      <c r="C1613" s="7">
        <v>56.11</v>
      </c>
      <c r="D1613" s="2"/>
    </row>
    <row r="1614" spans="1:4" x14ac:dyDescent="0.2">
      <c r="A1614" s="2">
        <v>1611</v>
      </c>
      <c r="B1614" s="2" t="str">
        <f>"ארון מתכת 2 דלתות 43*86*193 צבע חום-ב'ז"</f>
        <v>ארון מתכת 2 דלתות 43*86*193 צבע חום-ב'ז</v>
      </c>
      <c r="C1614" s="7">
        <v>760.2</v>
      </c>
      <c r="D1614" s="2"/>
    </row>
    <row r="1615" spans="1:4" x14ac:dyDescent="0.2">
      <c r="A1615" s="2">
        <v>1612</v>
      </c>
      <c r="B1615" s="2" t="str">
        <f>"תיקיית מתכת 5 קומות צבע חום - בז' כולל נעילה"</f>
        <v>תיקיית מתכת 5 קומות צבע חום - בז' כולל נעילה</v>
      </c>
      <c r="C1615" s="7">
        <v>1155.6849999999999</v>
      </c>
      <c r="D1615" s="2"/>
    </row>
    <row r="1616" spans="1:4" x14ac:dyDescent="0.2">
      <c r="A1616" s="2">
        <v>1613</v>
      </c>
      <c r="B1616" s="2" t="str">
        <f>"מדפסת סמסונג  SL-M3820ND שנה אחריות במעבדה"</f>
        <v>מדפסת סמסונג  SL-M3820ND שנה אחריות במעבדה</v>
      </c>
      <c r="C1616" s="7">
        <v>904.09500000000003</v>
      </c>
      <c r="D1616" s="2"/>
    </row>
    <row r="1617" spans="1:4" x14ac:dyDescent="0.2">
      <c r="A1617" s="2">
        <v>1614</v>
      </c>
      <c r="B1617" s="2" t="str">
        <f>"פריט מכרז"</f>
        <v>פריט מכרז</v>
      </c>
      <c r="C1617" s="7">
        <v>0</v>
      </c>
      <c r="D1617" s="2"/>
    </row>
    <row r="1618" spans="1:4" x14ac:dyDescent="0.2">
      <c r="A1618" s="2">
        <v>1615</v>
      </c>
      <c r="B1618" s="2" t="str">
        <f>"כוננית + דלתות 210/80/30  80 בצבע בוק"</f>
        <v>כוננית + דלתות 210/80/30  80 בצבע בוק</v>
      </c>
      <c r="C1618" s="7">
        <v>497.75</v>
      </c>
      <c r="D1618" s="2"/>
    </row>
    <row r="1619" spans="1:4" x14ac:dyDescent="0.2">
      <c r="A1619" s="2">
        <v>1616</v>
      </c>
      <c r="B1619" s="2" t="str">
        <f>"מערכת אלפא 150/70 שלוחה 120/50 אגס סלומון"</f>
        <v>מערכת אלפא 150/70 שלוחה 120/50 אגס סלומון</v>
      </c>
      <c r="C1619" s="7">
        <v>1312.25</v>
      </c>
      <c r="D1619" s="2"/>
    </row>
    <row r="1620" spans="1:4" x14ac:dyDescent="0.2">
      <c r="A1620" s="2">
        <v>1617</v>
      </c>
      <c r="B1620" s="2" t="str">
        <f>"שולחן ישיבות 240*120 ס""מ - בוק"</f>
        <v>שולחן ישיבות 240*120 ס"מ - בוק</v>
      </c>
      <c r="C1620" s="7">
        <v>1131.25</v>
      </c>
      <c r="D1620" s="2"/>
    </row>
    <row r="1621" spans="1:4" x14ac:dyDescent="0.2">
      <c r="A1621" s="2">
        <v>1618</v>
      </c>
      <c r="B1621" s="2" t="str">
        <f>"נייר צץ רץ 1760, AIRFLREX SCOTT דפים (דגם (58550"</f>
        <v>נייר צץ רץ 1760, AIRFLREX SCOTT דפים (דגם (58550</v>
      </c>
      <c r="C1621" s="7">
        <v>79.64</v>
      </c>
      <c r="D1621" s="2"/>
    </row>
    <row r="1622" spans="1:4" x14ac:dyDescent="0.2">
      <c r="A1622" s="2">
        <v>1619</v>
      </c>
      <c r="B1622" s="2" t="str">
        <f>"כוננית + דלתות 210/80/30  80 בצבע בוק"</f>
        <v>כוננית + דלתות 210/80/30  80 בצבע בוק</v>
      </c>
      <c r="C1622" s="7">
        <v>533.95000000000005</v>
      </c>
      <c r="D1622" s="2"/>
    </row>
    <row r="1623" spans="1:4" x14ac:dyDescent="0.2">
      <c r="A1623" s="2">
        <v>1620</v>
      </c>
      <c r="B1623" s="2" t="str">
        <f>"כוננית + דלתות +210/80/30  80 נעילה בצבע וונגה"</f>
        <v>כוננית + דלתות +210/80/30  80 נעילה בצבע וונגה</v>
      </c>
      <c r="C1623" s="7">
        <v>470.61809999999997</v>
      </c>
      <c r="D1623" s="2"/>
    </row>
    <row r="1624" spans="1:4" x14ac:dyDescent="0.2">
      <c r="A1624" s="2">
        <v>1621</v>
      </c>
      <c r="B1624" s="2" t="str">
        <f>"כוננית 5 תאים פתוחה 210/80/30 צבע וונגה"</f>
        <v>כוננית 5 תאים פתוחה 210/80/30 צבע וונגה</v>
      </c>
      <c r="C1624" s="7">
        <v>307.7</v>
      </c>
      <c r="D1624" s="2"/>
    </row>
    <row r="1625" spans="1:4" x14ac:dyDescent="0.2">
      <c r="A1625" s="2">
        <v>1622</v>
      </c>
      <c r="B1625" s="2" t="str">
        <f>"תיק גומי 40 חוץ גב 15"</f>
        <v>תיק גומי 40 חוץ גב 15</v>
      </c>
      <c r="C1625" s="7">
        <v>13.575000000000001</v>
      </c>
      <c r="D1625" s="2"/>
    </row>
    <row r="1626" spans="1:4" x14ac:dyDescent="0.2">
      <c r="A1626" s="2">
        <v>1623</v>
      </c>
      <c r="B1626" s="2" t="str">
        <f>"שרשרת פרנזים כחול לבן 50 מ'"</f>
        <v>שרשרת פרנזים כחול לבן 50 מ'</v>
      </c>
      <c r="C1626" s="7">
        <v>46.426499999999997</v>
      </c>
      <c r="D1626" s="2"/>
    </row>
    <row r="1627" spans="1:4" x14ac:dyDescent="0.2">
      <c r="A1627" s="2">
        <v>1624</v>
      </c>
      <c r="B1627" s="2" t="str">
        <f>"שרשרת פרנזים צבעוני 50 מטר"</f>
        <v>שרשרת פרנזים צבעוני 50 מטר</v>
      </c>
      <c r="C1627" s="7">
        <v>46.426499999999997</v>
      </c>
      <c r="D1627" s="2"/>
    </row>
    <row r="1628" spans="1:4" x14ac:dyDescent="0.2">
      <c r="A1628" s="2">
        <v>1625</v>
      </c>
      <c r="B1628" s="2" t="str">
        <f>"כסא ניהול דגם סוויס מושב מרופד רשת, גב רשת צבע ש"</f>
        <v>כסא ניהול דגם סוויס מושב מרופד רשת, גב רשת צבע ש</v>
      </c>
      <c r="C1628" s="7">
        <v>316.75</v>
      </c>
      <c r="D1628" s="2"/>
    </row>
    <row r="1629" spans="1:4" x14ac:dyDescent="0.2">
      <c r="A1629" s="2">
        <v>1626</v>
      </c>
      <c r="B1629" s="2" t="str">
        <f>"תיקיית מתכת 4 קומות צבע חום-בז' כולל נעילה"</f>
        <v>תיקיית מתכת 4 קומות צבע חום-בז' כולל נעילה</v>
      </c>
      <c r="C1629" s="7">
        <v>1076.95</v>
      </c>
      <c r="D1629" s="2"/>
    </row>
    <row r="1630" spans="1:4" x14ac:dyDescent="0.2">
      <c r="A1630" s="2">
        <v>1627</v>
      </c>
      <c r="B1630" s="2" t="str">
        <f>"מתקן צץ רץ )  H.T COMPACT דגם (6904"</f>
        <v>מתקן צץ רץ )  H.T COMPACT דגם (6904</v>
      </c>
      <c r="C1630" s="7">
        <v>61.54</v>
      </c>
      <c r="D1630" s="2"/>
    </row>
    <row r="1631" spans="1:4" x14ac:dyDescent="0.2">
      <c r="A1631" s="2">
        <v>1628</v>
      </c>
      <c r="B1631" s="2" t="str">
        <f>"רולדקס -מעמד ל-400  כרטיסי ביקור בעברית"</f>
        <v>רולדקס -מעמד ל-400  כרטיסי ביקור בעברית</v>
      </c>
      <c r="C1631" s="7">
        <v>161.09</v>
      </c>
      <c r="D1631" s="2"/>
    </row>
    <row r="1632" spans="1:4" x14ac:dyDescent="0.2">
      <c r="A1632" s="2">
        <v>1629</v>
      </c>
      <c r="B1632" s="2" t="str">
        <f>"מערכת הדרכה ניידת עם מדונה PA-815M"</f>
        <v>מערכת הדרכה ניידת עם מדונה PA-815M</v>
      </c>
      <c r="C1632" s="7">
        <v>221.72499999999999</v>
      </c>
      <c r="D1632" s="2"/>
    </row>
    <row r="1633" spans="1:4" x14ac:dyDescent="0.2">
      <c r="A1633" s="2">
        <v>1630</v>
      </c>
      <c r="B1633" s="2" t="str">
        <f>"מילוי דיו אפסון צהוב EPSON C13T789440 למדפסת 690"</f>
        <v>מילוי דיו אפסון צהוב EPSON C13T789440 למדפסת 690</v>
      </c>
      <c r="C1633" s="7">
        <v>219.01000000000002</v>
      </c>
      <c r="D1633" s="2"/>
    </row>
    <row r="1634" spans="1:4" x14ac:dyDescent="0.2">
      <c r="A1634" s="2">
        <v>1631</v>
      </c>
      <c r="B1634" s="2" t="str">
        <f>"מילוי דיו אפסון כחול EPSON C13T789240 למדפסת 690"</f>
        <v>מילוי דיו אפסון כחול EPSON C13T789240 למדפסת 690</v>
      </c>
      <c r="C1634" s="7">
        <v>219.01000000000002</v>
      </c>
      <c r="D1634" s="2"/>
    </row>
    <row r="1635" spans="1:4" x14ac:dyDescent="0.2">
      <c r="A1635" s="2">
        <v>1632</v>
      </c>
      <c r="B1635" s="2" t="str">
        <f>"מילוי דיו אפסון אדום EPSON C13T789340 למדפסת 690"</f>
        <v>מילוי דיו אפסון אדום EPSON C13T789340 למדפסת 690</v>
      </c>
      <c r="C1635" s="7">
        <v>219.01000000000002</v>
      </c>
      <c r="D1635" s="2"/>
    </row>
    <row r="1636" spans="1:4" x14ac:dyDescent="0.2">
      <c r="A1636" s="2">
        <v>1633</v>
      </c>
      <c r="B1636" s="2" t="str">
        <f>"מילוי דיו אפסון שחור EPSON C13T789140 למדפסת 690"</f>
        <v>מילוי דיו אפסון שחור EPSON C13T789140 למדפסת 690</v>
      </c>
      <c r="C1636" s="7">
        <v>190.95500000000001</v>
      </c>
      <c r="D1636" s="2"/>
    </row>
    <row r="1637" spans="1:4" x14ac:dyDescent="0.2">
      <c r="A1637" s="2">
        <v>1634</v>
      </c>
      <c r="B1637" s="2" t="str">
        <f>"מדפסת לייזר ש/ל סמסונג Samsung Xpress SL-M2020W"</f>
        <v>מדפסת לייזר ש/ל סמסונג Samsung Xpress SL-M2020W</v>
      </c>
      <c r="C1637" s="7">
        <v>261.54500000000002</v>
      </c>
      <c r="D1637" s="2"/>
    </row>
    <row r="1638" spans="1:4" x14ac:dyDescent="0.2">
      <c r="A1638" s="2">
        <v>1635</v>
      </c>
      <c r="B1638" s="2" t="str">
        <f>"מתאם על כבל קצר DP-M/VGA-F 20 ס""מ"</f>
        <v>מתאם על כבל קצר DP-M/VGA-F 20 ס"מ</v>
      </c>
      <c r="C1638" s="7">
        <v>22.625</v>
      </c>
      <c r="D1638" s="2"/>
    </row>
    <row r="1639" spans="1:4" x14ac:dyDescent="0.2">
      <c r="A1639" s="2">
        <v>1636</v>
      </c>
      <c r="B1639" s="2" t="str">
        <f>"לוח מחיק +גלגלים 120/80 מסגרת אלומיניום +שוקת"</f>
        <v>לוח מחיק +גלגלים 120/80 מסגרת אלומיניום +שוקת</v>
      </c>
      <c r="C1639" s="7">
        <v>895.95</v>
      </c>
      <c r="D1639" s="2"/>
    </row>
    <row r="1640" spans="1:4" x14ac:dyDescent="0.2">
      <c r="A1640" s="2">
        <v>1637</v>
      </c>
      <c r="B1640" s="2" t="str">
        <f>"כבל 1.8מטר HDMI-DVI"</f>
        <v>כבל 1.8מטר HDMI-DVI</v>
      </c>
      <c r="C1640" s="7">
        <v>31.675000000000001</v>
      </c>
      <c r="D1640" s="2"/>
    </row>
    <row r="1641" spans="1:4" x14ac:dyDescent="0.2">
      <c r="A1641" s="2">
        <v>1638</v>
      </c>
      <c r="B1641" s="2" t="str">
        <f>"זכרון למחשב נייח Kingston 4gb DDR3 1600mhz"</f>
        <v>זכרון למחשב נייח Kingston 4gb DDR3 1600mhz</v>
      </c>
      <c r="C1641" s="7">
        <v>125.795</v>
      </c>
      <c r="D1641" s="2"/>
    </row>
    <row r="1642" spans="1:4" x14ac:dyDescent="0.2">
      <c r="A1642" s="2">
        <v>1639</v>
      </c>
      <c r="B1642" s="2" t="str">
        <f>"זכרון למחשב נייח Kingston 8gb DDR3 1600mhz"</f>
        <v>זכרון למחשב נייח Kingston 8gb DDR3 1600mhz</v>
      </c>
      <c r="C1642" s="7">
        <v>225.345</v>
      </c>
      <c r="D1642" s="2"/>
    </row>
    <row r="1643" spans="1:4" x14ac:dyDescent="0.2">
      <c r="A1643" s="2">
        <v>1640</v>
      </c>
      <c r="B1643" s="2" t="str">
        <f>"SDSQXA2-064G-GN6MA"</f>
        <v>SDSQXA2-064G-GN6MA</v>
      </c>
      <c r="C1643" s="7">
        <v>71.495000000000005</v>
      </c>
      <c r="D1643" s="2"/>
    </row>
    <row r="1644" spans="1:4" x14ac:dyDescent="0.2">
      <c r="A1644" s="2">
        <v>1641</v>
      </c>
      <c r="B1644" s="2" t="str">
        <f>"נייר צילום 80 A4 גרם 23 צבעוני*"</f>
        <v>נייר צילום 80 A4 גרם 23 צבעוני*</v>
      </c>
      <c r="C1644" s="7">
        <v>16.1995</v>
      </c>
      <c r="D1644" s="2"/>
    </row>
    <row r="1645" spans="1:4" x14ac:dyDescent="0.2">
      <c r="A1645" s="2">
        <v>1642</v>
      </c>
      <c r="B1645" s="2" t="str">
        <f>"בלוק צהוב 50 A4 דף שורה *13121"</f>
        <v>בלוק צהוב 50 A4 דף שורה *13121</v>
      </c>
      <c r="C1645" s="7">
        <v>1.4480000000000002</v>
      </c>
      <c r="D1645" s="2"/>
    </row>
    <row r="1646" spans="1:4" x14ac:dyDescent="0.2">
      <c r="A1646" s="2">
        <v>1643</v>
      </c>
      <c r="B1646" s="2" t="str">
        <f>"בלוק צהוב 50  A5 דף שורה *13404"</f>
        <v>בלוק צהוב 50  A5 דף שורה *13404</v>
      </c>
      <c r="C1646" s="7">
        <v>1.3574999999999999</v>
      </c>
      <c r="D1646" s="2"/>
    </row>
    <row r="1647" spans="1:4" x14ac:dyDescent="0.2">
      <c r="A1647" s="2">
        <v>1644</v>
      </c>
      <c r="B1647" s="2" t="str">
        <f>"דפדפת A4 40 דף"</f>
        <v>דפדפת A4 40 דף</v>
      </c>
      <c r="C1647" s="7">
        <v>1.3574999999999999</v>
      </c>
      <c r="D1647" s="2"/>
    </row>
    <row r="1648" spans="1:4" x14ac:dyDescent="0.2">
      <c r="A1648" s="2">
        <v>1645</v>
      </c>
      <c r="B1648" s="2" t="str">
        <f>"מדבקה לבנה 32 דף"</f>
        <v>מדבקה לבנה 32 דף</v>
      </c>
      <c r="C1648" s="7">
        <v>2.2625000000000002</v>
      </c>
      <c r="D1648" s="2"/>
    </row>
    <row r="1649" spans="1:4" x14ac:dyDescent="0.2">
      <c r="A1649" s="2">
        <v>1646</v>
      </c>
      <c r="B1649" s="2" t="str">
        <f>"מדבקה צבעונית עגולה"</f>
        <v>מדבקה צבעונית עגולה</v>
      </c>
      <c r="C1649" s="7">
        <v>2.2625000000000002</v>
      </c>
      <c r="D1649" s="2"/>
    </row>
    <row r="1650" spans="1:4" x14ac:dyDescent="0.2">
      <c r="A1650" s="2">
        <v>1647</v>
      </c>
      <c r="B1650" s="2" t="str">
        <f>"מדבקה צבעונית עגולה 10"</f>
        <v>מדבקה צבעונית עגולה 10</v>
      </c>
      <c r="C1650" s="7">
        <v>4.5250000000000004</v>
      </c>
      <c r="D1650" s="2"/>
    </row>
    <row r="1651" spans="1:4" x14ac:dyDescent="0.2">
      <c r="A1651" s="2">
        <v>1648</v>
      </c>
      <c r="B1651" s="2" t="str">
        <f>"בלוק לבן 50 A5 דף"</f>
        <v>בלוק לבן 50 A5 דף</v>
      </c>
      <c r="C1651" s="7">
        <v>1.3574999999999999</v>
      </c>
      <c r="D1651" s="2"/>
    </row>
    <row r="1652" spans="1:4" x14ac:dyDescent="0.2">
      <c r="A1652" s="2">
        <v>1649</v>
      </c>
      <c r="B1652" s="2" t="str">
        <f>"דגלוני סימון 3M 680-1 POST-IT רחב"</f>
        <v>דגלוני סימון 3M 680-1 POST-IT רחב</v>
      </c>
      <c r="C1652" s="7">
        <v>6.9232500000000003</v>
      </c>
      <c r="D1652" s="2"/>
    </row>
    <row r="1653" spans="1:4" x14ac:dyDescent="0.2">
      <c r="A1653" s="2">
        <v>1650</v>
      </c>
      <c r="B1653" s="2" t="str">
        <f>"מחברת ספירלה 1 A4 נושא ROSH-ROSH"</f>
        <v>מחברת ספירלה 1 A4 נושא ROSH-ROSH</v>
      </c>
      <c r="C1653" s="7">
        <v>2.2625000000000002</v>
      </c>
      <c r="D1653" s="2"/>
    </row>
    <row r="1654" spans="1:4" x14ac:dyDescent="0.2">
      <c r="A1654" s="2">
        <v>1651</v>
      </c>
      <c r="B1654" s="2" t="str">
        <f>"מחברת ספירלה שורה 2 A4 נושאים ROSH-ROSH"</f>
        <v>מחברת ספירלה שורה 2 A4 נושאים ROSH-ROSH</v>
      </c>
      <c r="C1654" s="7">
        <v>5.5748000000000006</v>
      </c>
      <c r="D1654" s="2"/>
    </row>
    <row r="1655" spans="1:4" x14ac:dyDescent="0.2">
      <c r="A1655" s="2">
        <v>1652</v>
      </c>
      <c r="B1655" s="2" t="str">
        <f>"בלוק A5 ספירל  EXCLUSIVE  לבן ROSH ROSH"</f>
        <v>בלוק A5 ספירל  EXCLUSIVE  לבן ROSH ROSH</v>
      </c>
      <c r="C1655" s="7">
        <v>6.7875000000000005</v>
      </c>
      <c r="D1655" s="2"/>
    </row>
    <row r="1656" spans="1:4" x14ac:dyDescent="0.2">
      <c r="A1656" s="2">
        <v>1653</v>
      </c>
      <c r="B1656" s="2" t="str">
        <f>"קלסר קרטון משרדי גב5 עברית פוליו"</f>
        <v>קלסר קרטון משרדי גב5 עברית פוליו</v>
      </c>
      <c r="C1656" s="7">
        <v>3.4842500000000003</v>
      </c>
      <c r="D1656" s="2"/>
    </row>
    <row r="1657" spans="1:4" x14ac:dyDescent="0.2">
      <c r="A1657" s="2">
        <v>1654</v>
      </c>
      <c r="B1657" s="2" t="str">
        <f>"קלסר קרטון גב8 עברית פוליו קרביץ"</f>
        <v>קלסר קרטון גב8 עברית פוליו קרביץ</v>
      </c>
      <c r="C1657" s="7">
        <v>3.4842500000000003</v>
      </c>
      <c r="D1657" s="2"/>
    </row>
    <row r="1658" spans="1:4" x14ac:dyDescent="0.2">
      <c r="A1658" s="2">
        <v>1655</v>
      </c>
      <c r="B1658" s="2" t="str">
        <f>"קלסר משרדי פליקן גב5"</f>
        <v>קלסר משרדי פליקן גב5</v>
      </c>
      <c r="C1658" s="7">
        <v>5.3395000000000001</v>
      </c>
      <c r="D1658" s="2"/>
    </row>
    <row r="1659" spans="1:4" x14ac:dyDescent="0.2">
      <c r="A1659" s="2">
        <v>1656</v>
      </c>
      <c r="B1659" s="2" t="str">
        <f>"קלסר משרדי פליקן גב8"</f>
        <v>קלסר משרדי פליקן גב8</v>
      </c>
      <c r="C1659" s="7">
        <v>5.3395000000000001</v>
      </c>
      <c r="D1659" s="2"/>
    </row>
    <row r="1660" spans="1:4" x14ac:dyDescent="0.2">
      <c r="A1660" s="2">
        <v>1657</v>
      </c>
      <c r="B1660" s="2" t="str">
        <f>"תיק שתי טבעות פוליו  אטרקטיב"</f>
        <v>תיק שתי טבעות פוליו  אטרקטיב</v>
      </c>
      <c r="C1660" s="7">
        <v>4.0724999999999998</v>
      </c>
      <c r="D1660" s="2"/>
    </row>
    <row r="1661" spans="1:4" x14ac:dyDescent="0.2">
      <c r="A1661" s="2">
        <v>1658</v>
      </c>
      <c r="B1661" s="2" t="str">
        <f>"תיק שתי טבעות  P.O  מהודר  אקסלוסיב"</f>
        <v>תיק שתי טבעות  P.O  מהודר  אקסלוסיב</v>
      </c>
      <c r="C1661" s="7">
        <v>4.0724999999999998</v>
      </c>
      <c r="D1661" s="2"/>
    </row>
    <row r="1662" spans="1:4" x14ac:dyDescent="0.2">
      <c r="A1662" s="2">
        <v>1659</v>
      </c>
      <c r="B1662" s="2" t="str">
        <f>"תיק מנילה פוליו עם ברזל  ( גוון מט )"</f>
        <v>תיק מנילה פוליו עם ברזל  ( גוון מט )</v>
      </c>
      <c r="C1662" s="7">
        <v>1.2217500000000001</v>
      </c>
      <c r="D1662" s="2"/>
    </row>
    <row r="1663" spans="1:4" x14ac:dyDescent="0.2">
      <c r="A1663" s="2">
        <v>1660</v>
      </c>
      <c r="B1663" s="2" t="str">
        <f>"תיק פוליגל עם גומי גב -5"</f>
        <v>תיק פוליגל עם גומי גב -5</v>
      </c>
      <c r="C1663" s="7">
        <v>5.0679999999999996</v>
      </c>
      <c r="D1663" s="2"/>
    </row>
    <row r="1664" spans="1:4" x14ac:dyDescent="0.2">
      <c r="A1664" s="2">
        <v>1661</v>
      </c>
      <c r="B1664" s="2" t="str">
        <f>"תיק פוליגל עם גומי גב -8"</f>
        <v>תיק פוליגל עם גומי גב -8</v>
      </c>
      <c r="C1664" s="7">
        <v>4.7060000000000004</v>
      </c>
      <c r="D1664" s="2"/>
    </row>
    <row r="1665" spans="1:4" x14ac:dyDescent="0.2">
      <c r="A1665" s="2">
        <v>1662</v>
      </c>
      <c r="B1665" s="2" t="str">
        <f>"תיק פוליגל עם גומי גב 2.5"</f>
        <v>תיק פוליגל עם גומי גב 2.5</v>
      </c>
      <c r="C1665" s="7">
        <v>4.3892499999999997</v>
      </c>
      <c r="D1665" s="2"/>
    </row>
    <row r="1666" spans="1:4" x14ac:dyDescent="0.2">
      <c r="A1666" s="2">
        <v>1663</v>
      </c>
      <c r="B1666" s="2" t="str">
        <f>"סט 3 מגשים-מודולרי (איציק)"</f>
        <v>סט 3 מגשים-מודולרי (איציק)</v>
      </c>
      <c r="C1666" s="7">
        <v>26.064</v>
      </c>
      <c r="D1666" s="2"/>
    </row>
    <row r="1667" spans="1:4" x14ac:dyDescent="0.2">
      <c r="A1667" s="2">
        <v>1664</v>
      </c>
      <c r="B1667" s="2" t="str">
        <f>"טריפלE דיאגונלי מפל"</f>
        <v>טריפלE דיאגונלי מפל</v>
      </c>
      <c r="C1667" s="7">
        <v>3.9820000000000007</v>
      </c>
      <c r="D1667" s="2"/>
    </row>
    <row r="1668" spans="1:4" x14ac:dyDescent="0.2">
      <c r="A1668" s="2">
        <v>1665</v>
      </c>
      <c r="B1668" s="2" t="str">
        <f>"סט 3 מגשי דואר &lt;&lt;חדש&gt;&gt;"</f>
        <v>סט 3 מגשי דואר &lt;&lt;חדש&gt;&gt;</v>
      </c>
      <c r="C1668" s="7">
        <v>24.3445</v>
      </c>
      <c r="D1668" s="2"/>
    </row>
    <row r="1669" spans="1:4" x14ac:dyDescent="0.2">
      <c r="A1669" s="2">
        <v>1666</v>
      </c>
      <c r="B1669" s="2" t="str">
        <f>"תיק הגשה חצי שקוף פוליו"</f>
        <v>תיק הגשה חצי שקוף פוליו</v>
      </c>
      <c r="C1669" s="7">
        <v>0.36200000000000004</v>
      </c>
      <c r="D1669" s="2"/>
    </row>
    <row r="1670" spans="1:4" x14ac:dyDescent="0.2">
      <c r="A1670" s="2">
        <v>1667</v>
      </c>
      <c r="B1670" s="2" t="str">
        <f>"תיק אצבע A4  ( יחידה)"</f>
        <v>תיק אצבע A4  ( יחידה)</v>
      </c>
      <c r="C1670" s="7">
        <v>0.56110000000000004</v>
      </c>
      <c r="D1670" s="2"/>
    </row>
    <row r="1671" spans="1:4" x14ac:dyDescent="0.2">
      <c r="A1671" s="2">
        <v>1668</v>
      </c>
      <c r="B1671" s="2" t="str">
        <f>"תיק קרטון לארכיון שרוך+גומי"</f>
        <v>תיק קרטון לארכיון שרוך+גומי</v>
      </c>
      <c r="C1671" s="7">
        <v>5.3847500000000004</v>
      </c>
      <c r="D1671" s="2"/>
    </row>
    <row r="1672" spans="1:4" x14ac:dyDescent="0.2">
      <c r="A1672" s="2">
        <v>1669</v>
      </c>
      <c r="B1672" s="2" t="str">
        <f>"דף לכריכה דמוי עור שחור (חב')*"</f>
        <v>דף לכריכה דמוי עור שחור (חב')*</v>
      </c>
      <c r="C1672" s="7">
        <v>26.245000000000001</v>
      </c>
      <c r="D1672" s="2"/>
    </row>
    <row r="1673" spans="1:4" x14ac:dyDescent="0.2">
      <c r="A1673" s="2">
        <v>1670</v>
      </c>
      <c r="B1673" s="2" t="str">
        <f>"תיק תליה -101 משובץ-סופרפייל 25 יח"</f>
        <v>תיק תליה -101 משובץ-סופרפייל 25 יח</v>
      </c>
      <c r="C1673" s="7">
        <v>50.046500000000002</v>
      </c>
      <c r="D1673" s="2"/>
    </row>
    <row r="1674" spans="1:4" x14ac:dyDescent="0.2">
      <c r="A1674" s="2">
        <v>1671</v>
      </c>
      <c r="B1674" s="2" t="str">
        <f>"תיק מעטפה פלסטיק תיק תק"</f>
        <v>תיק מעטפה פלסטיק תיק תק</v>
      </c>
      <c r="C1674" s="7">
        <v>1.49325</v>
      </c>
      <c r="D1674" s="2"/>
    </row>
    <row r="1675" spans="1:4" x14ac:dyDescent="0.2">
      <c r="A1675" s="2">
        <v>1672</v>
      </c>
      <c r="B1675" s="2" t="str">
        <f>"תיק תליה -401 חלק-סופרפייל - כחול (25  יח')*"</f>
        <v>תיק תליה -401 חלק-סופרפייל - כחול (25  יח')*</v>
      </c>
      <c r="C1675" s="7">
        <v>76.924999999999997</v>
      </c>
      <c r="D1675" s="2"/>
    </row>
    <row r="1676" spans="1:4" x14ac:dyDescent="0.2">
      <c r="A1676" s="2">
        <v>1673</v>
      </c>
      <c r="B1676" s="2" t="str">
        <f>"תיק צמדן"</f>
        <v>תיק צמדן</v>
      </c>
      <c r="C1676" s="7">
        <v>1.7195</v>
      </c>
      <c r="D1676" s="2"/>
    </row>
    <row r="1677" spans="1:4" x14ac:dyDescent="0.2">
      <c r="A1677" s="2">
        <v>1674</v>
      </c>
      <c r="B1677" s="2" t="str">
        <f>"תיק טבעות פוליו דיאגונלי מפל"</f>
        <v>תיק טבעות פוליו דיאגונלי מפל</v>
      </c>
      <c r="C1677" s="7">
        <v>2.9864999999999999</v>
      </c>
      <c r="D1677" s="2"/>
    </row>
    <row r="1678" spans="1:4" x14ac:dyDescent="0.2">
      <c r="A1678" s="2">
        <v>1675</v>
      </c>
      <c r="B1678" s="2" t="str">
        <f>"עט כדורי חד פעמי שקוף"</f>
        <v>עט כדורי חד פעמי שקוף</v>
      </c>
      <c r="C1678" s="7">
        <v>0.19005</v>
      </c>
      <c r="D1678" s="2"/>
    </row>
    <row r="1679" spans="1:4" x14ac:dyDescent="0.2">
      <c r="A1679" s="2">
        <v>1676</v>
      </c>
      <c r="B1679" s="2" t="str">
        <f>"עטPILOT G TEC C4"</f>
        <v>עטPILOT G TEC C4</v>
      </c>
      <c r="C1679" s="7">
        <v>4.9775</v>
      </c>
      <c r="D1679" s="2"/>
    </row>
    <row r="1680" spans="1:4" x14ac:dyDescent="0.2">
      <c r="A1680" s="2">
        <v>1677</v>
      </c>
      <c r="B1680" s="2" t="str">
        <f>"עט רולר טכנופוינט ""חדש""V5 גריפ 0.5"</f>
        <v>עט רולר טכנופוינט "חדש"V5 גריפ 0.5</v>
      </c>
      <c r="C1680" s="7">
        <v>4.1629999999999994</v>
      </c>
      <c r="D1680" s="2"/>
    </row>
    <row r="1681" spans="1:4" x14ac:dyDescent="0.2">
      <c r="A1681" s="2">
        <v>1678</v>
      </c>
      <c r="B1681" s="2" t="str">
        <f>"עט רולר V5 PILOT"</f>
        <v>עט רולר V5 PILOT</v>
      </c>
      <c r="C1681" s="7">
        <v>4.9775</v>
      </c>
      <c r="D1681" s="2"/>
    </row>
    <row r="1682" spans="1:4" x14ac:dyDescent="0.2">
      <c r="A1682" s="2">
        <v>1679</v>
      </c>
      <c r="B1682" s="2" t="str">
        <f>"טוש הדגשה PELIKAN"</f>
        <v>טוש הדגשה PELIKAN</v>
      </c>
      <c r="C1682" s="7">
        <v>1.9910000000000003</v>
      </c>
      <c r="D1682" s="2"/>
    </row>
    <row r="1683" spans="1:4" x14ac:dyDescent="0.2">
      <c r="A1683" s="2">
        <v>1680</v>
      </c>
      <c r="B1683" s="2" t="str">
        <f>"טוש הדגשה ארטי"</f>
        <v>טוש הדגשה ארטי</v>
      </c>
      <c r="C1683" s="7">
        <v>0.62444999999999995</v>
      </c>
      <c r="D1683" s="2"/>
    </row>
    <row r="1684" spans="1:4" x14ac:dyDescent="0.2">
      <c r="A1684" s="2">
        <v>1681</v>
      </c>
      <c r="B1684" s="2" t="str">
        <f>"טוש סימון90  ארטי"</f>
        <v>טוש סימון90  ארטי</v>
      </c>
      <c r="C1684" s="7">
        <v>1.3937000000000002</v>
      </c>
      <c r="D1684" s="2"/>
    </row>
    <row r="1685" spans="1:4" x14ac:dyDescent="0.2">
      <c r="A1685" s="2">
        <v>1682</v>
      </c>
      <c r="B1685" s="2" t="str">
        <f>"טוש ללוח מחיק 70 ארטי"</f>
        <v>טוש ללוח מחיק 70 ארטי</v>
      </c>
      <c r="C1685" s="7">
        <v>1.3937000000000002</v>
      </c>
      <c r="D1685" s="2"/>
    </row>
    <row r="1686" spans="1:4" x14ac:dyDescent="0.2">
      <c r="A1686" s="2">
        <v>1683</v>
      </c>
      <c r="B1686" s="2" t="str">
        <f>"טוש סימון לשקפים שטדלרS313"</f>
        <v>טוש סימון לשקפים שטדלרS313</v>
      </c>
      <c r="C1686" s="7">
        <v>3.4842500000000003</v>
      </c>
      <c r="D1686" s="2"/>
    </row>
    <row r="1687" spans="1:4" x14ac:dyDescent="0.2">
      <c r="A1687" s="2">
        <v>1684</v>
      </c>
      <c r="B1687" s="2" t="str">
        <f>"טוש מחיקEXPO SANFORD עבה שטוח"</f>
        <v>טוש מחיקEXPO SANFORD עבה שטוח</v>
      </c>
      <c r="C1687" s="7">
        <v>2.9774500000000002</v>
      </c>
      <c r="D1687" s="2"/>
    </row>
    <row r="1688" spans="1:4" x14ac:dyDescent="0.2">
      <c r="A1688" s="2">
        <v>1685</v>
      </c>
      <c r="B1688" s="2" t="str">
        <f>"טוש סימון פרמננטי 90 פנטל N860-AO"</f>
        <v>טוש סימון פרמננטי 90 פנטל N860-AO</v>
      </c>
      <c r="C1688" s="7">
        <v>1.9005000000000001</v>
      </c>
      <c r="D1688" s="2"/>
    </row>
    <row r="1689" spans="1:4" x14ac:dyDescent="0.2">
      <c r="A1689" s="2">
        <v>1686</v>
      </c>
      <c r="B1689" s="2" t="str">
        <f>"טוש מחיק פנטל 70MW85-AO"</f>
        <v>טוש מחיק פנטל 70MW85-AO</v>
      </c>
      <c r="C1689" s="7">
        <v>1.9910000000000003</v>
      </c>
      <c r="D1689" s="2"/>
    </row>
    <row r="1690" spans="1:4" x14ac:dyDescent="0.2">
      <c r="A1690" s="2">
        <v>1687</v>
      </c>
      <c r="B1690" s="2" t="str">
        <f>"טוש ארטליין700 עט סימון נתלה"</f>
        <v>טוש ארטליין700 עט סימון נתלה</v>
      </c>
      <c r="C1690" s="7">
        <v>4.4797500000000001</v>
      </c>
      <c r="D1690" s="2"/>
    </row>
    <row r="1691" spans="1:4" x14ac:dyDescent="0.2">
      <c r="A1691" s="2">
        <v>1688</v>
      </c>
      <c r="B1691" s="2" t="str">
        <f>"טוש סימון  עבה"</f>
        <v>טוש סימון  עבה</v>
      </c>
      <c r="C1691" s="7">
        <v>5.3847500000000004</v>
      </c>
      <c r="D1691" s="2"/>
    </row>
    <row r="1692" spans="1:4" x14ac:dyDescent="0.2">
      <c r="A1692" s="2">
        <v>1689</v>
      </c>
      <c r="B1692" s="2" t="str">
        <f>"עט ג'ל לחצן- 0.5 G-2"</f>
        <v>עט ג'ל לחצן- 0.5 G-2</v>
      </c>
      <c r="C1692" s="7">
        <v>4.8870000000000005</v>
      </c>
      <c r="D1692" s="2"/>
    </row>
    <row r="1693" spans="1:4" x14ac:dyDescent="0.2">
      <c r="A1693" s="2">
        <v>1690</v>
      </c>
      <c r="B1693" s="2" t="str">
        <f>"עט לחצן ג'ל פנטל - K157"</f>
        <v>עט לחצן ג'ל פנטל - K157</v>
      </c>
      <c r="C1693" s="7">
        <v>3.0136500000000002</v>
      </c>
      <c r="D1693" s="2"/>
    </row>
    <row r="1694" spans="1:4" x14ac:dyDescent="0.2">
      <c r="A1694" s="2">
        <v>1691</v>
      </c>
      <c r="B1694" s="2" t="str">
        <f>"עט פנטל ראש סיכה 0.4  ""טכניקה""KN104"</f>
        <v>עט פנטל ראש סיכה 0.4  "טכניקה"KN104</v>
      </c>
      <c r="C1694" s="7">
        <v>3.077</v>
      </c>
      <c r="D1694" s="2"/>
    </row>
    <row r="1695" spans="1:4" x14ac:dyDescent="0.2">
      <c r="A1695" s="2">
        <v>1692</v>
      </c>
      <c r="B1695" s="2" t="str">
        <f>"עט לחצן פלסטי שקוף+ גריפ"</f>
        <v>עט לחצן פלסטי שקוף+ גריפ</v>
      </c>
      <c r="C1695" s="7">
        <v>0.54300000000000004</v>
      </c>
      <c r="D1695" s="2"/>
    </row>
    <row r="1696" spans="1:4" x14ac:dyDescent="0.2">
      <c r="A1696" s="2">
        <v>1693</v>
      </c>
      <c r="B1696" s="2" t="str">
        <f>"עט כדורי לחצן + גריפ 0.5 TENFON - B - 567"</f>
        <v>עט כדורי לחצן + גריפ 0.5 TENFON - B - 567</v>
      </c>
      <c r="C1696" s="7">
        <v>1.2036500000000001</v>
      </c>
      <c r="D1696" s="2"/>
    </row>
    <row r="1697" spans="1:4" x14ac:dyDescent="0.2">
      <c r="A1697" s="2">
        <v>1694</v>
      </c>
      <c r="B1697" s="2" t="str">
        <f>"עט רולר פנטל לחצן ג'ל 0.5 BLN105-CX"</f>
        <v>עט רולר פנטל לחצן ג'ל 0.5 BLN105-CX</v>
      </c>
      <c r="C1697" s="7">
        <v>3.8462499999999999</v>
      </c>
      <c r="D1697" s="2"/>
    </row>
    <row r="1698" spans="1:4" x14ac:dyDescent="0.2">
      <c r="A1698" s="2">
        <v>1695</v>
      </c>
      <c r="B1698" s="2" t="str">
        <f>"עט רולר פנטל ג'ל+גריפ 0.5 BLN15"</f>
        <v>עט רולר פנטל ג'ל+גריפ 0.5 BLN15</v>
      </c>
      <c r="C1698" s="7">
        <v>2.9864999999999999</v>
      </c>
      <c r="D1698" s="2"/>
    </row>
    <row r="1699" spans="1:4" x14ac:dyDescent="0.2">
      <c r="A1699" s="2">
        <v>1696</v>
      </c>
      <c r="B1699" s="2" t="str">
        <f>"עט רולר פנטל ג'ל+גריפ 0.5 BLN75"</f>
        <v>עט רולר פנטל ג'ל+גריפ 0.5 BLN75</v>
      </c>
      <c r="C1699" s="7">
        <v>2.3530000000000002</v>
      </c>
      <c r="D1699" s="2"/>
    </row>
    <row r="1700" spans="1:4" x14ac:dyDescent="0.2">
      <c r="A1700" s="2">
        <v>1697</v>
      </c>
      <c r="B1700" s="2" t="str">
        <f>"ספריי צבע"</f>
        <v>ספריי צבע</v>
      </c>
      <c r="C1700" s="7">
        <v>6.2445000000000004</v>
      </c>
      <c r="D1700" s="2"/>
    </row>
    <row r="1701" spans="1:4" x14ac:dyDescent="0.2">
      <c r="A1701" s="2">
        <v>1698</v>
      </c>
      <c r="B1701" s="2" t="str">
        <f>"גליל אל-בד 100 מטר"</f>
        <v>גליל אל-בד 100 מטר</v>
      </c>
      <c r="C1701" s="7">
        <v>71.495000000000005</v>
      </c>
      <c r="D1701" s="2"/>
    </row>
    <row r="1702" spans="1:4" x14ac:dyDescent="0.2">
      <c r="A1702" s="2">
        <v>1699</v>
      </c>
      <c r="B1702" s="2" t="str">
        <f>"גליל אל-בד 25 מטר"</f>
        <v>גליל אל-בד 25 מטר</v>
      </c>
      <c r="C1702" s="7">
        <v>17.738000000000003</v>
      </c>
      <c r="D1702" s="2"/>
    </row>
    <row r="1703" spans="1:4" x14ac:dyDescent="0.2">
      <c r="A1703" s="2">
        <v>1700</v>
      </c>
      <c r="B1703" s="2" t="str">
        <f>"גומיות דקות בקופסא"</f>
        <v>גומיות דקות בקופסא</v>
      </c>
      <c r="C1703" s="7">
        <v>2.34395</v>
      </c>
      <c r="D1703" s="2"/>
    </row>
    <row r="1704" spans="1:4" x14ac:dyDescent="0.2">
      <c r="A1704" s="2">
        <v>1701</v>
      </c>
      <c r="B1704" s="2" t="str">
        <f>"דיו לחותמות"</f>
        <v>דיו לחותמות</v>
      </c>
      <c r="C1704" s="7">
        <v>1.58375</v>
      </c>
      <c r="D1704" s="2"/>
    </row>
    <row r="1705" spans="1:4" x14ac:dyDescent="0.2">
      <c r="A1705" s="2">
        <v>1702</v>
      </c>
      <c r="B1705" s="2" t="str">
        <f>"גומיות רחבות מספר 100 18 גר'"</f>
        <v>גומיות רחבות מספר 100 18 גר'</v>
      </c>
      <c r="C1705" s="7">
        <v>2.34395</v>
      </c>
      <c r="D1705" s="2"/>
    </row>
    <row r="1706" spans="1:4" x14ac:dyDescent="0.2">
      <c r="A1706" s="2">
        <v>1703</v>
      </c>
      <c r="B1706" s="2" t="str">
        <f>"סרט בד צבעוני 25 מטר ""2 שחור*"</f>
        <v>סרט בד צבעוני 25 מטר "2 שחור*</v>
      </c>
      <c r="C1706" s="7">
        <v>11.909800000000001</v>
      </c>
      <c r="D1706" s="2"/>
    </row>
    <row r="1707" spans="1:4" x14ac:dyDescent="0.2">
      <c r="A1707" s="2">
        <v>1704</v>
      </c>
      <c r="B1707" s="2" t="str">
        <f>"תה צמחים ורד הבר *347301"</f>
        <v>תה צמחים ורד הבר *347301</v>
      </c>
      <c r="C1707" s="7">
        <v>12.579500000000001</v>
      </c>
      <c r="D1707" s="2"/>
    </row>
    <row r="1708" spans="1:4" x14ac:dyDescent="0.2">
      <c r="A1708" s="2">
        <v>1705</v>
      </c>
      <c r="B1708" s="2" t="str">
        <f>"פלסטלינה צבעונית- 400 גרם"</f>
        <v>פלסטלינה צבעונית- 400 גרם</v>
      </c>
      <c r="C1708" s="7">
        <v>4.2444500000000005</v>
      </c>
      <c r="D1708" s="2"/>
    </row>
    <row r="1709" spans="1:4" x14ac:dyDescent="0.2">
      <c r="A1709" s="2">
        <v>1706</v>
      </c>
      <c r="B1709" s="2" t="str">
        <f>"צבע גואש 500 מ""ל"</f>
        <v>צבע גואש 500 מ"ל</v>
      </c>
      <c r="C1709" s="7">
        <v>4.3440000000000003</v>
      </c>
      <c r="D1709" s="2"/>
    </row>
    <row r="1710" spans="1:4" x14ac:dyDescent="0.2">
      <c r="A1710" s="2">
        <v>1707</v>
      </c>
      <c r="B1710" s="2" t="str">
        <f>"צבע ידיים 440 גרם"</f>
        <v>צבע ידיים 440 גרם</v>
      </c>
      <c r="C1710" s="7">
        <v>7.6924999999999999</v>
      </c>
      <c r="D1710" s="2"/>
    </row>
    <row r="1711" spans="1:4" x14ac:dyDescent="0.2">
      <c r="A1711" s="2">
        <v>1708</v>
      </c>
      <c r="B1711" s="2" t="str">
        <f>"לוח מפל100*70 ס''מ"</f>
        <v>לוח מפל100*70 ס''מ</v>
      </c>
      <c r="C1711" s="7">
        <v>4.0544000000000002</v>
      </c>
      <c r="D1711" s="2"/>
    </row>
    <row r="1712" spans="1:4" x14ac:dyDescent="0.2">
      <c r="A1712" s="2">
        <v>1709</v>
      </c>
      <c r="B1712" s="2" t="str">
        <f>"לוח פוליגל 125*80 ס""מ"</f>
        <v>לוח פוליגל 125*80 ס"מ</v>
      </c>
      <c r="C1712" s="7">
        <v>6.6064999999999996</v>
      </c>
      <c r="D1712" s="2"/>
    </row>
    <row r="1713" spans="1:4" x14ac:dyDescent="0.2">
      <c r="A1713" s="2">
        <v>1710</v>
      </c>
      <c r="B1713" s="2" t="str">
        <f>"משטחי סול100*40 ס''מ"</f>
        <v>משטחי סול100*40 ס''מ</v>
      </c>
      <c r="C1713" s="7">
        <v>3.1675</v>
      </c>
      <c r="D1713" s="2"/>
    </row>
    <row r="1714" spans="1:4" x14ac:dyDescent="0.2">
      <c r="A1714" s="2">
        <v>1711</v>
      </c>
      <c r="B1714" s="2" t="str">
        <f>"אקריליק סלוודור איבורי220-900 מ''ל"</f>
        <v>אקריליק סלוודור איבורי220-900 מ''ל</v>
      </c>
      <c r="C1714" s="7">
        <v>9.8645000000000014</v>
      </c>
      <c r="D1714" s="2"/>
    </row>
    <row r="1715" spans="1:4" x14ac:dyDescent="0.2">
      <c r="A1715" s="2">
        <v>1712</v>
      </c>
      <c r="B1715" s="2" t="str">
        <f>"סרט אריזה למתנות צר 5 ממ"</f>
        <v>סרט אריזה למתנות צר 5 ממ</v>
      </c>
      <c r="C1715" s="7">
        <v>5.7015000000000002</v>
      </c>
      <c r="D1715" s="2"/>
    </row>
    <row r="1716" spans="1:4" x14ac:dyDescent="0.2">
      <c r="A1716" s="2">
        <v>1713</v>
      </c>
      <c r="B1716" s="2" t="str">
        <f>"צמר"</f>
        <v>צמר</v>
      </c>
      <c r="C1716" s="7">
        <v>5.3847500000000004</v>
      </c>
      <c r="D1716" s="2"/>
    </row>
    <row r="1717" spans="1:4" x14ac:dyDescent="0.2">
      <c r="A1717" s="2">
        <v>1714</v>
      </c>
      <c r="B1717" s="2" t="str">
        <f>"צבעי טוליפ118 מ''ל"</f>
        <v>צבעי טוליפ118 מ''ל</v>
      </c>
      <c r="C1717" s="7"/>
      <c r="D1717" s="2"/>
    </row>
    <row r="1718" spans="1:4" x14ac:dyDescent="0.2">
      <c r="A1718" s="2">
        <v>1715</v>
      </c>
      <c r="B1718" s="2"/>
      <c r="C1718" s="7"/>
      <c r="D1718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sarit shraga</dc:creator>
  <cp:lastModifiedBy>עדכוני תוכן</cp:lastModifiedBy>
  <dcterms:created xsi:type="dcterms:W3CDTF">2019-11-13T12:08:17Z</dcterms:created>
  <dcterms:modified xsi:type="dcterms:W3CDTF">2020-04-05T05:36:56Z</dcterms:modified>
  <cp:contentStatus>סופי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